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OCHICO\Arquivos\DAP\LICITAÇÕES\2. Processos e Editais\Pregões Eletrônicos\2018\PE 2.2018 - Limpeza, Portaria e Manutenção\"/>
    </mc:Choice>
  </mc:AlternateContent>
  <bookViews>
    <workbookView xWindow="0" yWindow="0" windowWidth="28800" windowHeight="11610" tabRatio="991" activeTab="2"/>
  </bookViews>
  <sheets>
    <sheet name="SERVENTE 20%" sheetId="1" r:id="rId1"/>
    <sheet name="PREÇO M2" sheetId="2" r:id="rId2"/>
    <sheet name="RESUMO DA PROPOSTA" sheetId="3" r:id="rId3"/>
  </sheets>
  <definedNames>
    <definedName name="_xlnm.Print_Area" localSheetId="1">'PREÇO M2'!$A$1:$L$98</definedName>
    <definedName name="_xlnm.Print_Area" localSheetId="2">'RESUMO DA PROPOSTA'!$A$1:$J$45</definedName>
    <definedName name="_xlnm.Print_Area" localSheetId="0">'SERVENTE 20%'!$A$1:$I$138</definedName>
    <definedName name="Print_Area_0" localSheetId="1">'PREÇO M2'!$A$1:$L$98</definedName>
    <definedName name="Print_Area_0" localSheetId="2">'RESUMO DA PROPOSTA'!$A$1:$J$45</definedName>
    <definedName name="Print_Area_0" localSheetId="0">'SERVENTE 20%'!$A$1:$I$138</definedName>
  </definedNames>
  <calcPr calcId="162913" iterateDelta="1E-4"/>
</workbook>
</file>

<file path=xl/calcChain.xml><?xml version="1.0" encoding="utf-8"?>
<calcChain xmlns="http://schemas.openxmlformats.org/spreadsheetml/2006/main">
  <c r="F83" i="2" l="1"/>
  <c r="H29" i="3"/>
  <c r="H28" i="3"/>
  <c r="H26" i="3"/>
  <c r="H25" i="3"/>
  <c r="H24" i="3"/>
  <c r="H23" i="3"/>
  <c r="H22" i="3"/>
  <c r="H21" i="3"/>
  <c r="H20" i="3"/>
  <c r="H19" i="3"/>
  <c r="H18" i="3"/>
  <c r="H17" i="3"/>
  <c r="H85" i="2"/>
  <c r="G51" i="2"/>
  <c r="F51" i="2"/>
  <c r="C51" i="2"/>
  <c r="C55" i="2"/>
  <c r="D31" i="2"/>
  <c r="D30" i="2"/>
  <c r="D17" i="2"/>
  <c r="D14" i="2"/>
  <c r="D10" i="2"/>
  <c r="D40" i="2"/>
  <c r="D41" i="2"/>
  <c r="K47" i="2" l="1"/>
  <c r="D24" i="2"/>
  <c r="D21" i="2"/>
  <c r="H79" i="2" l="1"/>
  <c r="D37" i="2"/>
  <c r="G60" i="2"/>
  <c r="G59" i="2"/>
  <c r="I50" i="1" l="1"/>
  <c r="I56" i="1" s="1"/>
  <c r="I46" i="1"/>
  <c r="I45" i="1"/>
  <c r="H71" i="2"/>
  <c r="B124" i="1"/>
  <c r="I122" i="1"/>
  <c r="B122" i="1"/>
  <c r="B121" i="1"/>
  <c r="B120" i="1"/>
  <c r="B119" i="1"/>
  <c r="B118" i="1"/>
  <c r="H107" i="1"/>
  <c r="H105" i="1"/>
  <c r="I95" i="1"/>
  <c r="I86" i="1"/>
  <c r="H81" i="1"/>
  <c r="I80" i="1"/>
  <c r="I81" i="1" s="1"/>
  <c r="H77" i="1"/>
  <c r="I74" i="1"/>
  <c r="I71" i="1"/>
  <c r="H66" i="1"/>
  <c r="I63" i="1"/>
  <c r="H63" i="1"/>
  <c r="H62" i="1"/>
  <c r="I61" i="1"/>
  <c r="I49" i="1"/>
  <c r="I47" i="1"/>
  <c r="H42" i="1"/>
  <c r="H65" i="1" s="1"/>
  <c r="I65" i="1" s="1"/>
  <c r="I40" i="1"/>
  <c r="I35" i="1"/>
  <c r="H31" i="1"/>
  <c r="I24" i="1"/>
  <c r="I25" i="1" s="1"/>
  <c r="H87" i="2" l="1"/>
  <c r="I73" i="1"/>
  <c r="I62" i="1"/>
  <c r="I67" i="1" s="1"/>
  <c r="I120" i="1" s="1"/>
  <c r="I38" i="1"/>
  <c r="I34" i="1"/>
  <c r="I29" i="1"/>
  <c r="I76" i="1"/>
  <c r="I72" i="1"/>
  <c r="I77" i="1" s="1"/>
  <c r="I85" i="1" s="1"/>
  <c r="I87" i="1" s="1"/>
  <c r="I121" i="1" s="1"/>
  <c r="I66" i="1"/>
  <c r="I64" i="1"/>
  <c r="I41" i="1"/>
  <c r="I37" i="1"/>
  <c r="I36" i="1"/>
  <c r="I75" i="1"/>
  <c r="I118" i="1"/>
  <c r="I30" i="1"/>
  <c r="I39" i="1"/>
  <c r="H67" i="1"/>
  <c r="I42" i="1" l="1"/>
  <c r="I55" i="1" s="1"/>
  <c r="I31" i="1"/>
  <c r="I54" i="1" s="1"/>
  <c r="I57" i="1" s="1"/>
  <c r="I119" i="1" s="1"/>
  <c r="I123" i="1" s="1"/>
  <c r="I99" i="1" l="1"/>
  <c r="I100" i="1" l="1"/>
  <c r="I110" i="1" s="1"/>
  <c r="I112" i="1" s="1"/>
  <c r="I103" i="1" l="1"/>
  <c r="I114" i="1"/>
  <c r="I102" i="1"/>
  <c r="I104" i="1"/>
  <c r="I105" i="1" l="1"/>
  <c r="I124" i="1" s="1"/>
  <c r="I125" i="1" l="1"/>
  <c r="G10" i="2"/>
  <c r="B138" i="1"/>
  <c r="G41" i="2"/>
  <c r="I41" i="2" s="1"/>
  <c r="F75" i="2" s="1"/>
  <c r="K75" i="2" s="1"/>
  <c r="I51" i="2" l="1"/>
  <c r="I55" i="2" s="1"/>
  <c r="K55" i="2" s="1"/>
  <c r="F84" i="2" s="1"/>
  <c r="G30" i="2"/>
  <c r="I30" i="2" s="1"/>
  <c r="G40" i="2"/>
  <c r="I40" i="2" s="1"/>
  <c r="I60" i="2"/>
  <c r="C128" i="1"/>
  <c r="G128" i="1" s="1"/>
  <c r="I128" i="1" s="1"/>
  <c r="I129" i="1" s="1"/>
  <c r="G17" i="2"/>
  <c r="I17" i="2" s="1"/>
  <c r="I18" i="2" s="1"/>
  <c r="F66" i="2" s="1"/>
  <c r="G31" i="2"/>
  <c r="I10" i="2"/>
  <c r="I11" i="2" s="1"/>
  <c r="F64" i="2" s="1"/>
  <c r="K64" i="2" s="1"/>
  <c r="G21" i="2"/>
  <c r="I21" i="2" s="1"/>
  <c r="G14" i="2"/>
  <c r="I134" i="1" l="1"/>
  <c r="I130" i="1"/>
  <c r="I135" i="1" s="1"/>
  <c r="K51" i="2"/>
  <c r="I31" i="2"/>
  <c r="I32" i="2" s="1"/>
  <c r="G37" i="2"/>
  <c r="I37" i="2" s="1"/>
  <c r="K56" i="2"/>
  <c r="G24" i="2"/>
  <c r="I14" i="2"/>
  <c r="I15" i="2" s="1"/>
  <c r="F65" i="2" s="1"/>
  <c r="G27" i="2"/>
  <c r="I27" i="2" s="1"/>
  <c r="I28" i="2" s="1"/>
  <c r="I46" i="2"/>
  <c r="I59" i="2"/>
  <c r="K61" i="2" s="1"/>
  <c r="K82" i="2" s="1"/>
  <c r="K85" i="2" s="1"/>
  <c r="F76" i="2"/>
  <c r="K76" i="2" s="1"/>
  <c r="I136" i="1" l="1"/>
  <c r="I24" i="2"/>
  <c r="I25" i="2" s="1"/>
  <c r="F68" i="2" s="1"/>
  <c r="K68" i="2" s="1"/>
  <c r="K69" i="2"/>
  <c r="F70" i="2"/>
  <c r="K70" i="2" s="1"/>
  <c r="G36" i="2"/>
  <c r="I36" i="2" s="1"/>
  <c r="I38" i="2" s="1"/>
  <c r="F74" i="2" s="1"/>
  <c r="K74" i="2" s="1"/>
  <c r="K79" i="2" s="1"/>
  <c r="K46" i="2"/>
  <c r="K48" i="2" s="1"/>
  <c r="K83" i="2" s="1"/>
  <c r="K65" i="2"/>
  <c r="F78" i="2"/>
  <c r="K66" i="2"/>
  <c r="G20" i="2"/>
  <c r="K84" i="2" l="1"/>
  <c r="K87" i="2" s="1"/>
  <c r="J88" i="2" s="1"/>
  <c r="K52" i="2"/>
  <c r="I20" i="2"/>
  <c r="K71" i="2"/>
  <c r="I22" i="2" l="1"/>
  <c r="F67" i="2" s="1"/>
  <c r="K67" i="2" s="1"/>
  <c r="J89" i="2"/>
</calcChain>
</file>

<file path=xl/sharedStrings.xml><?xml version="1.0" encoding="utf-8"?>
<sst xmlns="http://schemas.openxmlformats.org/spreadsheetml/2006/main" count="362" uniqueCount="250">
  <si>
    <t>EMPRESA.: XXXXXXXXXXXXXXXXXXXXXXXXX   CNPJ: XXXXXXXXXXXXXXXXXXX</t>
  </si>
  <si>
    <t>Categoria profissional:</t>
  </si>
  <si>
    <t>Discriminação dos Serviços</t>
  </si>
  <si>
    <t>A</t>
  </si>
  <si>
    <t>Data de apresentação da proposta</t>
  </si>
  <si>
    <t>B</t>
  </si>
  <si>
    <t>Município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</si>
  <si>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</si>
  <si>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</si>
  <si>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</si>
  <si>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</si>
  <si>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</si>
  <si>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</si>
  <si>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</si>
  <si>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</si>
  <si>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Limpeza</t>
  </si>
  <si>
    <t>Área (m2)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</si>
  <si>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</si>
  <si>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</si>
  <si>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</si>
  <si>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</si>
  <si>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</si>
  <si>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Servente</t>
  </si>
  <si>
    <t>Data base da categoria (dia/mês/ano)  M.T.E,  SC000425/2017</t>
  </si>
  <si>
    <t>MÓDULO 1 - COMPOSIÇÃO DA REMUNERAÇÃO</t>
  </si>
  <si>
    <t>COMPOSIÇÃO DA REMUNERAÇÃO</t>
  </si>
  <si>
    <t>%</t>
  </si>
  <si>
    <t>VALOR (R$)</t>
  </si>
  <si>
    <t>Salário Base</t>
  </si>
  <si>
    <t>Adicional  Insalubridade</t>
  </si>
  <si>
    <t>TOTAL DO MÓDULO 1</t>
  </si>
  <si>
    <t>MÓDULO 2 – ENCARGOS E BENEFÍCIOS ANUAIS, MENSAIS E DIÁRIOS</t>
  </si>
  <si>
    <t>Submódulo 2.1 - 13º Salário, Férias e Adicional de Férias</t>
  </si>
  <si>
    <r>
      <t>13 (Décimo-terceiro) salário</t>
    </r>
    <r>
      <rPr>
        <sz val="10"/>
        <color rgb="FFFF0000"/>
        <rFont val="Arial"/>
        <family val="2"/>
        <charset val="1"/>
      </rPr>
      <t/>
    </r>
  </si>
  <si>
    <t>Férias e Adicional de Férias</t>
  </si>
  <si>
    <t>TOTAL SUBMÓDULO 2.1</t>
  </si>
  <si>
    <t>Submódulo 2.2 - GPS, FGTS e Outras Contribuições</t>
  </si>
  <si>
    <t>Nota explicativa 3 indica incidência</t>
  </si>
  <si>
    <t>INSS</t>
  </si>
  <si>
    <t>sobre módulo 6 (parece indevida)</t>
  </si>
  <si>
    <t>Salário Educação</t>
  </si>
  <si>
    <t>No aguardo do Caderno de Logística</t>
  </si>
  <si>
    <t>SAT (Seguro Acidente de Trabalho)</t>
  </si>
  <si>
    <t>para dirimir a questão.</t>
  </si>
  <si>
    <t>SESC ou SESI</t>
  </si>
  <si>
    <t>E</t>
  </si>
  <si>
    <t>SENAI - SENAC</t>
  </si>
  <si>
    <t>F</t>
  </si>
  <si>
    <t>SEBRAE</t>
  </si>
  <si>
    <t>G</t>
  </si>
  <si>
    <t>INCRA</t>
  </si>
  <si>
    <t>H</t>
  </si>
  <si>
    <t>FGTS</t>
  </si>
  <si>
    <t>TOTAL SUBMÓDULO 2.2</t>
  </si>
  <si>
    <t>Submódulo 2.3 - Benefícios Mensais e Diários</t>
  </si>
  <si>
    <t>Transporte</t>
  </si>
  <si>
    <t>Auxílio-Refeição/Alimentação</t>
  </si>
  <si>
    <t>Contribuição Assistencial</t>
  </si>
  <si>
    <t>Contribuição Assistencial Patronal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</si>
  <si>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</si>
  <si>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</si>
  <si>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</si>
  <si>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</si>
  <si>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</si>
  <si>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</si>
  <si>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</si>
  <si>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</si>
  <si>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</si>
  <si>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</si>
  <si>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</si>
  <si>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</si>
  <si>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</si>
  <si>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</si>
  <si>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</si>
  <si>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</si>
  <si>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</si>
  <si>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Trabalhado.</t>
  </si>
  <si>
    <t>TOTAL DO MÓDULO 3</t>
  </si>
  <si>
    <t>MÓDULO 4 – CUSTO DE REPOSIÇÃO DO PROFISSIONAL AUSENTE</t>
  </si>
  <si>
    <t>Submódulo 4.1 - Ausências Legais</t>
  </si>
  <si>
    <t>Férias</t>
  </si>
  <si>
    <t>Ausências Legais</t>
  </si>
  <si>
    <t>Licença Paternidade</t>
  </si>
  <si>
    <r>
      <t>Ausência por Acidente de Trabalho</t>
    </r>
    <r>
      <rPr>
        <sz val="10"/>
        <color rgb="FFFF0000"/>
        <rFont val="Arial"/>
        <family val="2"/>
        <charset val="1"/>
      </rPr>
      <t/>
    </r>
  </si>
  <si>
    <t>Afastamento Maternidade</t>
  </si>
  <si>
    <t>Outros (especificar)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</si>
  <si>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</si>
  <si>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</si>
  <si>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</si>
  <si>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</si>
  <si>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</si>
  <si>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</si>
  <si>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</si>
  <si>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</si>
  <si>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</si>
  <si>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</si>
  <si>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</si>
  <si>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</si>
  <si>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>Uniformes</t>
  </si>
  <si>
    <t>-</t>
  </si>
  <si>
    <t>Materiais</t>
  </si>
  <si>
    <t>Equipamentos</t>
  </si>
  <si>
    <t>EPI,s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</si>
  <si>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</si>
  <si>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</si>
  <si>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</si>
  <si>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</si>
  <si>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</si>
  <si>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</si>
  <si>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</si>
  <si>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</si>
  <si>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</si>
  <si>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</si>
  <si>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</si>
  <si>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</si>
  <si>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</si>
  <si>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</si>
  <si>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</si>
  <si>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</si>
  <si>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</si>
  <si>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</si>
  <si>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</si>
  <si>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</si>
  <si>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</si>
  <si>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</si>
  <si>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</si>
  <si>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</si>
  <si>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</si>
  <si>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</si>
  <si>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</si>
  <si>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</si>
  <si>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</si>
  <si>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</si>
  <si>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</si>
  <si>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</si>
  <si>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</si>
  <si>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</si>
  <si>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</si>
  <si>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</si>
  <si>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</si>
  <si>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</si>
  <si>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</si>
  <si>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</si>
  <si>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</si>
  <si>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</si>
  <si>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FATOR K</t>
  </si>
  <si>
    <t>ANEXO III - F</t>
  </si>
  <si>
    <t>Complemento dos serviços de limpeza e conservação</t>
  </si>
  <si>
    <t>I - PREÇO MENSAL UNITÁRIO POR M²</t>
  </si>
  <si>
    <t>ÁREAS INTERNAS</t>
  </si>
  <si>
    <t>MÃO-DE-OBRA / TIPO DE ÁREA (ENCARREGADO /TIPO DE ÁREA) (SERVENTE /TIPO DE ÁREA)</t>
  </si>
  <si>
    <t>(1)                                       PRODUTIVIDADE (1/M²)</t>
  </si>
  <si>
    <t>(2)                              PREÇO HOMEM-MÊS           (R$)</t>
  </si>
  <si>
    <t>(1 X 2)  VALOR M2      SUBTOTAL                            (R$/M²)</t>
  </si>
  <si>
    <t>1/(30 x 300)</t>
  </si>
  <si>
    <t>Serv. /Banheiros</t>
  </si>
  <si>
    <t>1/300</t>
  </si>
  <si>
    <t>Serv. / Laboratorios</t>
  </si>
  <si>
    <t>Serv. / Pisos frios</t>
  </si>
  <si>
    <t>Enc. / Laboratórios</t>
  </si>
  <si>
    <t>1/(30 x 330)</t>
  </si>
  <si>
    <t>Serv. / Laboratórios</t>
  </si>
  <si>
    <t>Serv. / Almoxarifados/Galpões</t>
  </si>
  <si>
    <t>1/(30 x 1200)</t>
  </si>
  <si>
    <t>Serv. / Oficinas</t>
  </si>
  <si>
    <t>1/1200</t>
  </si>
  <si>
    <t>Lider. / Áreas com espaços livres - saguão, hall e salão</t>
  </si>
  <si>
    <t>Serv. / Áreas de almoxarifado</t>
  </si>
  <si>
    <t>ÁREAS EXTERNAS</t>
  </si>
  <si>
    <t>Enc. / Pisos pavimentados adjacentes/contíguos às edificações</t>
  </si>
  <si>
    <t>Serv. / Pisos pavimentados adjacentes/contíguos às edificações</t>
  </si>
  <si>
    <t>ESQUADRIAS EXTERNAS - FACE INTERNA/EXTERNA</t>
  </si>
  <si>
    <t>MÃO-DE-OBRA /TIPO DE ÁREA (ENCARREGADO /TIPO DE ÁREA) (SERVENTE/TIPO DE ÁREA)</t>
  </si>
  <si>
    <t>(1) PRODUTI-VIDADE (1/M²)</t>
  </si>
  <si>
    <t>(2)          FREQUÊN-CIA NO MÊS (HORAS)</t>
  </si>
  <si>
    <t>(3) JORNADA DE TRABA-LHO NO MÊS (HORAS)</t>
  </si>
  <si>
    <t>(4) =          (1 X 2 X 3)            Ki</t>
  </si>
  <si>
    <t>(5) PREÇO HOMEM-MÊS           (R$)</t>
  </si>
  <si>
    <t>Lider./Face externa com exposição a situação de risco</t>
  </si>
  <si>
    <t>1/191,4</t>
  </si>
  <si>
    <t>Serv./Face externa com exposição a situação de risco</t>
  </si>
  <si>
    <t>Enc./Face externa sem exposição a situação de risco</t>
  </si>
  <si>
    <t>Serv./Face externa sem exposição a situação de risco</t>
  </si>
  <si>
    <t>Enc./Face interna</t>
  </si>
  <si>
    <t>Serv./Face interna</t>
  </si>
  <si>
    <t>1/(30 x 200)</t>
  </si>
  <si>
    <t>II - VALOR MESAL DOS SERVIÇOS</t>
  </si>
  <si>
    <t>TIPOS DE ÁREA</t>
  </si>
  <si>
    <t>PREÇO MENSAL UNITÁRIO (R$/M²)</t>
  </si>
  <si>
    <t>ÁREA                   (M²)</t>
  </si>
  <si>
    <t>Área internas - Banheiros</t>
  </si>
  <si>
    <t>Laboratorio</t>
  </si>
  <si>
    <t>Área internas - Pisos frios</t>
  </si>
  <si>
    <t>Área internas - Laboratórios</t>
  </si>
  <si>
    <t>Área internas - Almoxarifados/Galpões</t>
  </si>
  <si>
    <t>Área internas - Oficinas</t>
  </si>
  <si>
    <t>Área internas - Áreas com espaços livres - saguão, hall e salão</t>
  </si>
  <si>
    <t>TOTAL DA ÁREA INTERNA</t>
  </si>
  <si>
    <t>Áreas externas - Pisos pavimentados adjacentes/contíguos às edificações</t>
  </si>
  <si>
    <t>Áreas externas - Varrição de passeios e arruamentos</t>
  </si>
  <si>
    <t>Áreas externas - Pátios e áreas verdes com alta frequência</t>
  </si>
  <si>
    <t>Áreas externas - Pátios e áreas verdes com média frequência</t>
  </si>
  <si>
    <t>Area Externa - Edificações</t>
  </si>
  <si>
    <t>TOTAL DA ÁREA EXTERNA</t>
  </si>
  <si>
    <t>Esquadrias (Face interna e externa) de risco</t>
  </si>
  <si>
    <t>Esquadrias externas - Face externa sem exposição a situação de risco</t>
  </si>
  <si>
    <t>Áreas externas - Face interna</t>
  </si>
  <si>
    <t>TOTAL DA ESQUADRIA EXTERNA</t>
  </si>
  <si>
    <t>Valor global da proposta (valor mensal do serviço X nº 12 de meses do contrato)</t>
  </si>
  <si>
    <t>III - QUANTIDADE DE PESSOAL ALOCADO NA EXECUÇÃO CONTRATUAL                                                         (inciso V do art. 21 da IN SLTI/MPOG nº 2/08 e item 6.5.4."f" do Edital)</t>
  </si>
  <si>
    <t>Tipo de Mão-de-Obra</t>
  </si>
  <si>
    <t>Quantidade de Pessoal</t>
  </si>
  <si>
    <t>SERVENTE 44 HORAS -  20%</t>
  </si>
  <si>
    <t>EMPRESA.: XXXXXXXXXXXXXXXXXXXXXX            CNPJ : XXXXXXXXXXXXXXXX</t>
  </si>
  <si>
    <t>Endereço:</t>
  </si>
  <si>
    <t>Regime Tributário: XXXXXXXXXXXXXXXX</t>
  </si>
  <si>
    <t>Banco: XXXXXXXXXXXXXXXXX</t>
  </si>
  <si>
    <t>Validade da proposta:  60 (sessenta) a contar da sua abertura</t>
  </si>
  <si>
    <t>EMPRESA</t>
  </si>
  <si>
    <t>XXXXXXXXXXXXX</t>
  </si>
  <si>
    <t>CNPJ</t>
  </si>
  <si>
    <t>CNPJ : XXXXXXXXXXXXXXXXXXXXX</t>
  </si>
  <si>
    <t>DATA DE APRESENTAÇÃO DA PROPOSTA</t>
  </si>
  <si>
    <t>VALIDADE DA PROPOSTA</t>
  </si>
  <si>
    <t>DIAS</t>
  </si>
  <si>
    <t>ANEXO III-C - Quadro-resumo – VALOR MENSAL DOS SERVIÇOS</t>
  </si>
  <si>
    <t>DESCRIÇÃO DO OBJETO</t>
  </si>
  <si>
    <t>VALOR POR ITEM</t>
  </si>
  <si>
    <t>Contratação de empresa terceirizada para a prestação de serviços continuados de limpeza e conservação, com fornecimento de mão de obra, materiais, equipamentos e insumos necessários ao atendimento das necessidades do Instituto Federal Catarinense – Campus Brusque SC.</t>
  </si>
  <si>
    <t>ÁREAS:</t>
  </si>
  <si>
    <t>M2</t>
  </si>
  <si>
    <t>PREÇO M2</t>
  </si>
  <si>
    <t>PREÇO POR ÁREA MENSAL</t>
  </si>
  <si>
    <t>AREA INTERNA LABORATORIO</t>
  </si>
  <si>
    <t>ÁREAS INTERNAS - BANHEIROS</t>
  </si>
  <si>
    <t>ÁREAS INTERNAS - PISOS FRIOS</t>
  </si>
  <si>
    <t>AREAS INTERNAS - COM ESPAÇO LIVRES SAGUAO, HALL E SALÃO</t>
  </si>
  <si>
    <t>Fachada rnvidraçada e face externa com exposição ao risco</t>
  </si>
  <si>
    <t>A empresa fornesera todo material de higiene,limpeza, utensilio e equipamentos(quando necessário), todos os impostos com encargos trabalhistas, previdenciários, fiscais, comerciais, taxas, fretes, seguros, deslocamento de pessoal, transporte,treinamento, garantia e quaisquer outros que incidam ou venham a incidir sobre o objeto licitado constante na proposta.</t>
  </si>
  <si>
    <t>1/239,544</t>
  </si>
  <si>
    <t>Serv. Pátios e áreas verdes
com alta frequência</t>
  </si>
  <si>
    <t>Serv. Varrição de Passeios e
Arruamentos</t>
  </si>
  <si>
    <t>ESQUEDRIAS FACE EXTERNAS SEM RISCO EXTERNA</t>
  </si>
  <si>
    <t>ESQUEDRIAS FACE EXTERNAS SEM RISCO INTERNA</t>
  </si>
  <si>
    <t>PISO PAVIMENTO ÁREA ADJACENTE</t>
  </si>
  <si>
    <t>VARRIÇÃO PASSEIO E ARRUAMENTO</t>
  </si>
  <si>
    <t>PÁTIO E ÁREAS VERDES COM ALTA FREQUENCIA</t>
  </si>
  <si>
    <t>ALMOXARIFADO</t>
  </si>
  <si>
    <t xml:space="preserve">SINDICATO: </t>
  </si>
  <si>
    <t>Contratação de empresa terceirizada  para a prestação de serviços continuados de limpeza e conservação, com fornecimento de mão de obra, materiais, equipamentos e insumos necessários ao atendimento das necessidades do Instituto Federal Catarinense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</si>
</sst>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d/m/yyyy"/>
    <numFmt numFmtId="165" formatCode="&quot;R$ &quot;#,##0.00_);[Red]&quot;(R$ &quot;#,##0.00\)"/>
    <numFmt numFmtId="166" formatCode="_-&quot;R$ &quot;* #,##0.00_-;&quot;-R$ &quot;* #,##0.00_-;_-&quot;R$ &quot;* \-??_-;_-@_-"/>
    <numFmt numFmtId="167" formatCode="0.000%"/>
    <numFmt numFmtId="168" formatCode="_-* #,##0.00_-;\-* #,##0.00_-;_-* \-??_-;_-@_-"/>
    <numFmt numFmtId="169" formatCode="0.0000%"/>
    <numFmt numFmtId="170" formatCode="0.0000000"/>
    <numFmt numFmtId="171" formatCode="_-&quot;R$ &quot;* #,##0.000_-;&quot;-R$ &quot;* #,##0.000_-;_-&quot;R$ &quot;* \-??_-;_-@_-"/>
    <numFmt numFmtId="172" formatCode="_-[$R$-416]\ * #,##0.00_-;\-[$R$-416]\ * #,##0.00_-;_-[$R$-416]\ * \-??_-;_-@_-"/>
    <numFmt numFmtId="173" formatCode="dddd&quot;, &quot;mmmm\ dd&quot;, &quot;yyyy"/>
    <numFmt numFmtId="174" formatCode="0.0000"/>
    <numFmt numFmtId="175" formatCode="_(* #,##0_);_(* \(#,##0\);_(* \-??_);_(@_)"/>
    <numFmt numFmtId="176" formatCode="_-* #,##0.000000000_-;\-* #,##0.000000000_-;_-* \-??_-;_-@_-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.5"/>
      <name val="Arial"/>
      <family val="2"/>
      <charset val="1"/>
    </font>
    <font>
      <b/>
      <sz val="11"/>
      <name val="Calibri"/>
      <family val="2"/>
      <charset val="1"/>
    </font>
    <font>
      <b/>
      <sz val="9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Times New Roman"/>
      <family val="1"/>
      <charset val="1"/>
    </font>
    <font>
      <b/>
      <sz val="8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8" fontId="20" fillId="0" borderId="0" applyBorder="0" applyProtection="0"/>
    <xf numFmtId="166" fontId="20" fillId="0" borderId="0" applyBorder="0" applyProtection="0"/>
    <xf numFmtId="9" fontId="20" fillId="0" borderId="0" applyBorder="0" applyProtection="0"/>
  </cellStyleXfs>
  <cellXfs count="28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0" fontId="3" fillId="0" borderId="1" xfId="3" applyNumberFormat="1" applyFont="1" applyBorder="1" applyAlignment="1" applyProtection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0" fillId="0" borderId="0" xfId="0" applyBorder="1"/>
    <xf numFmtId="10" fontId="0" fillId="0" borderId="1" xfId="0" applyNumberFormat="1" applyBorder="1" applyAlignment="1">
      <alignment horizontal="center"/>
    </xf>
    <xf numFmtId="10" fontId="0" fillId="3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2" applyFont="1" applyBorder="1" applyAlignment="1" applyProtection="1"/>
    <xf numFmtId="167" fontId="0" fillId="0" borderId="1" xfId="0" applyNumberFormat="1" applyBorder="1" applyAlignment="1">
      <alignment horizontal="center"/>
    </xf>
    <xf numFmtId="168" fontId="0" fillId="0" borderId="0" xfId="0" applyNumberForma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10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0" borderId="1" xfId="0" applyNumberFormat="1" applyFont="1" applyBorder="1"/>
    <xf numFmtId="10" fontId="0" fillId="0" borderId="1" xfId="0" applyNumberFormat="1" applyBorder="1" applyAlignment="1"/>
    <xf numFmtId="2" fontId="1" fillId="0" borderId="1" xfId="0" applyNumberFormat="1" applyFont="1" applyBorder="1"/>
    <xf numFmtId="10" fontId="0" fillId="0" borderId="1" xfId="3" applyNumberFormat="1" applyFont="1" applyBorder="1" applyAlignment="1" applyProtection="1">
      <alignment horizontal="center"/>
    </xf>
    <xf numFmtId="2" fontId="0" fillId="0" borderId="1" xfId="0" applyNumberFormat="1" applyFont="1" applyBorder="1" applyAlignment="1">
      <alignment horizontal="center"/>
    </xf>
    <xf numFmtId="10" fontId="0" fillId="0" borderId="1" xfId="3" applyNumberFormat="1" applyFont="1" applyBorder="1" applyAlignment="1" applyProtection="1"/>
    <xf numFmtId="0" fontId="2" fillId="0" borderId="7" xfId="0" applyFont="1" applyBorder="1" applyAlignment="1">
      <alignment horizontal="center"/>
    </xf>
    <xf numFmtId="10" fontId="2" fillId="0" borderId="8" xfId="3" applyNumberFormat="1" applyFont="1" applyBorder="1" applyAlignment="1" applyProtection="1"/>
    <xf numFmtId="2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10" fontId="2" fillId="0" borderId="0" xfId="3" applyNumberFormat="1" applyFont="1" applyBorder="1" applyAlignment="1" applyProtection="1"/>
    <xf numFmtId="2" fontId="2" fillId="0" borderId="11" xfId="0" applyNumberFormat="1" applyFont="1" applyBorder="1"/>
    <xf numFmtId="0" fontId="0" fillId="0" borderId="10" xfId="0" applyFont="1" applyBorder="1"/>
    <xf numFmtId="0" fontId="2" fillId="0" borderId="12" xfId="0" applyFont="1" applyBorder="1" applyAlignment="1">
      <alignment horizontal="center"/>
    </xf>
    <xf numFmtId="10" fontId="2" fillId="0" borderId="13" xfId="3" applyNumberFormat="1" applyFont="1" applyBorder="1" applyAlignment="1" applyProtection="1"/>
    <xf numFmtId="2" fontId="2" fillId="0" borderId="14" xfId="0" applyNumberFormat="1" applyFont="1" applyBorder="1"/>
    <xf numFmtId="2" fontId="0" fillId="0" borderId="0" xfId="0" applyNumberFormat="1"/>
    <xf numFmtId="2" fontId="2" fillId="0" borderId="0" xfId="0" applyNumberFormat="1" applyFont="1" applyBorder="1"/>
    <xf numFmtId="166" fontId="2" fillId="0" borderId="0" xfId="2" applyFont="1" applyBorder="1" applyAlignment="1" applyProtection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2" fontId="1" fillId="0" borderId="19" xfId="0" applyNumberFormat="1" applyFont="1" applyBorder="1" applyAlignment="1"/>
    <xf numFmtId="0" fontId="1" fillId="0" borderId="17" xfId="0" applyFont="1" applyBorder="1" applyAlignment="1"/>
    <xf numFmtId="2" fontId="1" fillId="0" borderId="20" xfId="0" applyNumberFormat="1" applyFont="1" applyBorder="1"/>
    <xf numFmtId="2" fontId="2" fillId="0" borderId="22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26" xfId="0" applyNumberFormat="1" applyFont="1" applyBorder="1"/>
    <xf numFmtId="0" fontId="1" fillId="0" borderId="27" xfId="0" applyFont="1" applyBorder="1" applyAlignment="1">
      <alignment horizontal="center"/>
    </xf>
    <xf numFmtId="2" fontId="1" fillId="0" borderId="28" xfId="0" applyNumberFormat="1" applyFont="1" applyBorder="1"/>
    <xf numFmtId="0" fontId="2" fillId="0" borderId="0" xfId="0" applyFont="1"/>
    <xf numFmtId="0" fontId="6" fillId="0" borderId="0" xfId="0" applyFont="1" applyAlignment="1"/>
    <xf numFmtId="0" fontId="6" fillId="0" borderId="0" xfId="0" applyFont="1"/>
    <xf numFmtId="0" fontId="7" fillId="3" borderId="30" xfId="0" applyFont="1" applyFill="1" applyBorder="1" applyAlignment="1">
      <alignment horizontal="center"/>
    </xf>
    <xf numFmtId="0" fontId="8" fillId="3" borderId="0" xfId="0" applyFont="1" applyFill="1"/>
    <xf numFmtId="0" fontId="9" fillId="3" borderId="31" xfId="0" applyFont="1" applyFill="1" applyBorder="1" applyAlignment="1">
      <alignment horizontal="center"/>
    </xf>
    <xf numFmtId="0" fontId="12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0" fontId="13" fillId="2" borderId="15" xfId="0" applyFont="1" applyFill="1" applyBorder="1" applyAlignment="1">
      <alignment horizontal="center" vertical="center" wrapText="1"/>
    </xf>
    <xf numFmtId="166" fontId="2" fillId="3" borderId="2" xfId="2" applyFont="1" applyFill="1" applyBorder="1" applyAlignment="1" applyProtection="1">
      <alignment vertical="top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66" fontId="2" fillId="3" borderId="37" xfId="0" applyNumberFormat="1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right" vertical="center" wrapText="1"/>
    </xf>
    <xf numFmtId="166" fontId="2" fillId="3" borderId="0" xfId="2" applyFont="1" applyFill="1" applyBorder="1" applyAlignment="1" applyProtection="1">
      <alignment vertical="top" wrapText="1"/>
    </xf>
    <xf numFmtId="0" fontId="2" fillId="3" borderId="33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right" vertical="top" wrapText="1"/>
    </xf>
    <xf numFmtId="0" fontId="13" fillId="2" borderId="37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166" fontId="2" fillId="3" borderId="16" xfId="0" applyNumberFormat="1" applyFont="1" applyFill="1" applyBorder="1" applyAlignment="1">
      <alignment horizontal="right" vertical="top" wrapText="1"/>
    </xf>
    <xf numFmtId="166" fontId="2" fillId="3" borderId="38" xfId="0" applyNumberFormat="1" applyFont="1" applyFill="1" applyBorder="1" applyAlignment="1">
      <alignment horizontal="right" vertical="top" wrapText="1"/>
    </xf>
    <xf numFmtId="2" fontId="9" fillId="3" borderId="16" xfId="0" applyNumberFormat="1" applyFont="1" applyFill="1" applyBorder="1" applyAlignment="1">
      <alignment horizontal="right" vertical="center" wrapText="1"/>
    </xf>
    <xf numFmtId="2" fontId="9" fillId="3" borderId="38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166" fontId="2" fillId="3" borderId="0" xfId="0" applyNumberFormat="1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166" fontId="2" fillId="3" borderId="2" xfId="2" applyFont="1" applyFill="1" applyBorder="1" applyAlignment="1" applyProtection="1">
      <alignment horizontal="center" vertical="top" wrapText="1"/>
    </xf>
    <xf numFmtId="166" fontId="2" fillId="3" borderId="0" xfId="2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 applyProtection="1">
      <alignment horizontal="right" vertical="center"/>
    </xf>
    <xf numFmtId="168" fontId="16" fillId="3" borderId="15" xfId="1" applyFont="1" applyFill="1" applyBorder="1" applyAlignment="1" applyProtection="1">
      <alignment horizontal="center" vertical="center" wrapText="1"/>
    </xf>
    <xf numFmtId="168" fontId="16" fillId="3" borderId="15" xfId="1" applyFont="1" applyFill="1" applyBorder="1" applyAlignment="1" applyProtection="1">
      <alignment vertical="center" wrapText="1"/>
    </xf>
    <xf numFmtId="168" fontId="18" fillId="3" borderId="15" xfId="1" applyFont="1" applyFill="1" applyBorder="1" applyAlignment="1" applyProtection="1">
      <alignment vertical="center" wrapText="1"/>
    </xf>
    <xf numFmtId="166" fontId="18" fillId="3" borderId="15" xfId="2" applyFont="1" applyFill="1" applyBorder="1" applyAlignment="1" applyProtection="1">
      <alignment vertical="center" wrapText="1"/>
    </xf>
    <xf numFmtId="4" fontId="0" fillId="3" borderId="0" xfId="0" applyNumberFormat="1" applyFill="1"/>
    <xf numFmtId="166" fontId="18" fillId="3" borderId="15" xfId="2" applyFont="1" applyFill="1" applyBorder="1" applyAlignment="1" applyProtection="1">
      <alignment horizontal="center" vertical="center" wrapText="1"/>
    </xf>
    <xf numFmtId="168" fontId="18" fillId="3" borderId="30" xfId="1" applyFont="1" applyFill="1" applyBorder="1" applyAlignment="1" applyProtection="1">
      <alignment vertical="center" wrapText="1"/>
    </xf>
    <xf numFmtId="166" fontId="18" fillId="3" borderId="30" xfId="2" applyFont="1" applyFill="1" applyBorder="1" applyAlignment="1" applyProtection="1">
      <alignment horizontal="center" vertical="center" wrapText="1"/>
    </xf>
    <xf numFmtId="175" fontId="16" fillId="3" borderId="15" xfId="1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166" fontId="16" fillId="3" borderId="0" xfId="2" applyFont="1" applyFill="1" applyBorder="1" applyAlignment="1" applyProtection="1">
      <alignment horizontal="center" vertical="center" wrapText="1"/>
    </xf>
    <xf numFmtId="166" fontId="17" fillId="3" borderId="0" xfId="2" applyFont="1" applyFill="1" applyBorder="1" applyAlignment="1" applyProtection="1">
      <alignment horizontal="center" vertical="center" wrapText="1"/>
    </xf>
    <xf numFmtId="166" fontId="2" fillId="3" borderId="0" xfId="2" applyFont="1" applyFill="1" applyBorder="1" applyAlignment="1" applyProtection="1">
      <alignment vertical="center"/>
    </xf>
    <xf numFmtId="0" fontId="0" fillId="3" borderId="0" xfId="0" applyFill="1" applyAlignment="1">
      <alignment vertical="top"/>
    </xf>
    <xf numFmtId="0" fontId="2" fillId="3" borderId="39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166" fontId="2" fillId="3" borderId="36" xfId="2" applyFont="1" applyFill="1" applyBorder="1" applyAlignment="1" applyProtection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166" fontId="2" fillId="3" borderId="34" xfId="2" applyFont="1" applyFill="1" applyBorder="1" applyAlignment="1" applyProtection="1">
      <alignment vertical="center"/>
    </xf>
    <xf numFmtId="0" fontId="2" fillId="3" borderId="35" xfId="0" applyFont="1" applyFill="1" applyBorder="1" applyAlignment="1">
      <alignment vertical="center"/>
    </xf>
    <xf numFmtId="0" fontId="19" fillId="3" borderId="0" xfId="0" applyFont="1" applyFill="1"/>
    <xf numFmtId="166" fontId="20" fillId="0" borderId="1" xfId="2" applyBorder="1"/>
    <xf numFmtId="168" fontId="18" fillId="3" borderId="3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/>
    <xf numFmtId="0" fontId="2" fillId="3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2" fontId="1" fillId="0" borderId="17" xfId="0" applyNumberFormat="1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wrapText="1"/>
    </xf>
    <xf numFmtId="0" fontId="11" fillId="3" borderId="33" xfId="0" applyFont="1" applyFill="1" applyBorder="1" applyAlignment="1">
      <alignment horizontal="center" vertical="top" wrapText="1"/>
    </xf>
    <xf numFmtId="0" fontId="11" fillId="3" borderId="34" xfId="0" applyFont="1" applyFill="1" applyBorder="1" applyAlignment="1">
      <alignment horizontal="center" vertical="top" wrapText="1"/>
    </xf>
    <xf numFmtId="0" fontId="11" fillId="3" borderId="3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36" xfId="0" applyFont="1" applyFill="1" applyBorder="1" applyAlignment="1">
      <alignment horizontal="right" vertical="top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166" fontId="2" fillId="3" borderId="15" xfId="2" applyFont="1" applyFill="1" applyBorder="1" applyAlignment="1" applyProtection="1">
      <alignment horizontal="center" vertical="center" wrapText="1"/>
    </xf>
    <xf numFmtId="43" fontId="2" fillId="3" borderId="15" xfId="0" applyNumberFormat="1" applyFont="1" applyFill="1" applyBorder="1" applyAlignment="1">
      <alignment horizontal="right" vertical="center" wrapText="1"/>
    </xf>
    <xf numFmtId="166" fontId="2" fillId="3" borderId="15" xfId="0" applyNumberFormat="1" applyFont="1" applyFill="1" applyBorder="1" applyAlignment="1">
      <alignment horizontal="right" vertical="center" wrapText="1"/>
    </xf>
    <xf numFmtId="166" fontId="2" fillId="3" borderId="2" xfId="0" applyNumberFormat="1" applyFont="1" applyFill="1" applyBorder="1" applyAlignment="1">
      <alignment vertical="top" wrapText="1"/>
    </xf>
    <xf numFmtId="166" fontId="2" fillId="3" borderId="2" xfId="2" applyFont="1" applyFill="1" applyBorder="1" applyAlignment="1" applyProtection="1">
      <alignment vertical="top" wrapText="1"/>
    </xf>
    <xf numFmtId="0" fontId="14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166" fontId="2" fillId="3" borderId="15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right" vertical="top" wrapText="1"/>
    </xf>
    <xf numFmtId="0" fontId="2" fillId="3" borderId="38" xfId="0" applyFont="1" applyFill="1" applyBorder="1" applyAlignment="1">
      <alignment horizontal="right" vertical="top" wrapText="1"/>
    </xf>
    <xf numFmtId="166" fontId="2" fillId="3" borderId="15" xfId="0" applyNumberFormat="1" applyFont="1" applyFill="1" applyBorder="1" applyAlignment="1">
      <alignment horizontal="right" vertical="top" wrapText="1"/>
    </xf>
    <xf numFmtId="0" fontId="2" fillId="3" borderId="15" xfId="0" applyFont="1" applyFill="1" applyBorder="1" applyAlignment="1">
      <alignment vertical="top" wrapText="1"/>
    </xf>
    <xf numFmtId="176" fontId="20" fillId="0" borderId="15" xfId="1" applyNumberFormat="1" applyBorder="1" applyProtection="1"/>
    <xf numFmtId="0" fontId="2" fillId="3" borderId="15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vertical="top" wrapText="1"/>
    </xf>
    <xf numFmtId="0" fontId="13" fillId="2" borderId="3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center" vertical="center" wrapText="1"/>
    </xf>
    <xf numFmtId="170" fontId="2" fillId="3" borderId="30" xfId="0" applyNumberFormat="1" applyFont="1" applyFill="1" applyBorder="1" applyAlignment="1">
      <alignment horizontal="center" vertical="center" wrapText="1"/>
    </xf>
    <xf numFmtId="170" fontId="2" fillId="3" borderId="15" xfId="0" applyNumberFormat="1" applyFont="1" applyFill="1" applyBorder="1" applyAlignment="1">
      <alignment horizontal="center" vertical="center" wrapText="1"/>
    </xf>
    <xf numFmtId="171" fontId="2" fillId="3" borderId="32" xfId="0" applyNumberFormat="1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right" vertical="center" wrapText="1"/>
    </xf>
    <xf numFmtId="0" fontId="2" fillId="3" borderId="30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9" fillId="3" borderId="15" xfId="0" applyFont="1" applyFill="1" applyBorder="1" applyAlignment="1">
      <alignment horizontal="left" vertical="center" wrapText="1"/>
    </xf>
    <xf numFmtId="166" fontId="9" fillId="3" borderId="15" xfId="2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6" fontId="9" fillId="3" borderId="3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top" wrapText="1"/>
    </xf>
    <xf numFmtId="166" fontId="9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166" fontId="9" fillId="3" borderId="15" xfId="0" applyNumberFormat="1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166" fontId="9" fillId="3" borderId="15" xfId="0" applyNumberFormat="1" applyFont="1" applyFill="1" applyBorder="1" applyAlignment="1">
      <alignment horizontal="right" wrapText="1"/>
    </xf>
    <xf numFmtId="2" fontId="9" fillId="3" borderId="15" xfId="0" applyNumberFormat="1" applyFont="1" applyFill="1" applyBorder="1" applyAlignment="1">
      <alignment horizontal="right" vertical="center" wrapText="1"/>
    </xf>
    <xf numFmtId="166" fontId="9" fillId="3" borderId="15" xfId="0" applyNumberFormat="1" applyFont="1" applyFill="1" applyBorder="1" applyAlignment="1">
      <alignment horizontal="right" vertical="center" wrapText="1"/>
    </xf>
    <xf numFmtId="172" fontId="2" fillId="3" borderId="2" xfId="0" applyNumberFormat="1" applyFont="1" applyFill="1" applyBorder="1" applyAlignment="1">
      <alignment vertical="top" wrapText="1"/>
    </xf>
    <xf numFmtId="0" fontId="2" fillId="3" borderId="32" xfId="0" applyFont="1" applyFill="1" applyBorder="1" applyAlignment="1">
      <alignment horizontal="center" vertical="center" wrapText="1"/>
    </xf>
    <xf numFmtId="166" fontId="2" fillId="3" borderId="32" xfId="2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172" fontId="2" fillId="2" borderId="15" xfId="0" applyNumberFormat="1" applyFont="1" applyFill="1" applyBorder="1" applyAlignment="1">
      <alignment horizontal="center" vertical="top" wrapText="1"/>
    </xf>
    <xf numFmtId="166" fontId="2" fillId="3" borderId="16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left" vertical="center" wrapText="1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172" fontId="17" fillId="3" borderId="37" xfId="2" applyNumberFormat="1" applyFont="1" applyFill="1" applyBorder="1" applyAlignment="1" applyProtection="1">
      <alignment horizontal="center" vertical="center" wrapText="1"/>
    </xf>
    <xf numFmtId="172" fontId="17" fillId="3" borderId="16" xfId="2" applyNumberFormat="1" applyFont="1" applyFill="1" applyBorder="1" applyAlignment="1" applyProtection="1">
      <alignment horizontal="center" vertical="center" wrapText="1"/>
    </xf>
    <xf numFmtId="172" fontId="17" fillId="3" borderId="38" xfId="2" applyNumberFormat="1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168" fontId="6" fillId="3" borderId="15" xfId="1" applyFont="1" applyFill="1" applyBorder="1" applyAlignment="1" applyProtection="1">
      <alignment horizontal="left" vertical="center"/>
    </xf>
    <xf numFmtId="173" fontId="6" fillId="3" borderId="15" xfId="1" applyNumberFormat="1" applyFont="1" applyFill="1" applyBorder="1" applyAlignment="1" applyProtection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168" fontId="2" fillId="3" borderId="30" xfId="1" applyFont="1" applyFill="1" applyBorder="1" applyAlignment="1" applyProtection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168" fontId="16" fillId="3" borderId="15" xfId="1" applyFont="1" applyFill="1" applyBorder="1" applyAlignment="1" applyProtection="1">
      <alignment horizontal="center" vertical="center" wrapText="1"/>
    </xf>
    <xf numFmtId="0" fontId="17" fillId="3" borderId="30" xfId="0" applyFont="1" applyFill="1" applyBorder="1" applyAlignment="1">
      <alignment horizontal="left" vertical="center" wrapText="1"/>
    </xf>
    <xf numFmtId="166" fontId="21" fillId="0" borderId="15" xfId="2" applyFont="1" applyBorder="1" applyProtection="1"/>
    <xf numFmtId="174" fontId="18" fillId="3" borderId="15" xfId="1" applyNumberFormat="1" applyFont="1" applyFill="1" applyBorder="1" applyAlignment="1" applyProtection="1">
      <alignment horizontal="center" vertical="center" wrapText="1"/>
    </xf>
    <xf numFmtId="166" fontId="17" fillId="3" borderId="15" xfId="2" applyFont="1" applyFill="1" applyBorder="1" applyAlignment="1" applyProtection="1">
      <alignment horizontal="center" vertical="center" wrapText="1"/>
    </xf>
    <xf numFmtId="172" fontId="17" fillId="3" borderId="15" xfId="2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166" fontId="16" fillId="3" borderId="15" xfId="2" applyFont="1" applyFill="1" applyBorder="1" applyAlignment="1" applyProtection="1">
      <alignment horizontal="center" vertical="center" wrapText="1"/>
    </xf>
    <xf numFmtId="166" fontId="4" fillId="3" borderId="2" xfId="2" applyFont="1" applyFill="1" applyBorder="1" applyAlignment="1" applyProtection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topLeftCell="A98" zoomScaleNormal="100" zoomScaleSheetLayoutView="100" zoomScalePageLayoutView="78" workbookViewId="0">
      <selection activeCell="K109" sqref="K109"/>
    </sheetView>
  </sheetViews>
  <sheetFormatPr defaultRowHeight="15" x14ac:dyDescent="0.25"/>
  <cols>
    <col min="1" max="1" width="10"/>
    <col min="2" max="4" width="8.7109375"/>
    <col min="5" max="5" width="10.85546875"/>
    <col min="6" max="6" width="8.7109375"/>
    <col min="7" max="7" width="19.140625"/>
    <col min="8" max="8" width="8.85546875"/>
    <col min="9" max="9" width="15"/>
    <col min="10" max="10" width="5"/>
    <col min="11" max="11" width="33.140625"/>
    <col min="12" max="12" width="15.85546875"/>
    <col min="13" max="13" width="9.5703125"/>
    <col min="14" max="1025" width="8.7109375"/>
  </cols>
  <sheetData>
    <row r="1" spans="1:9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</row>
    <row r="2" spans="1:9" x14ac:dyDescent="0.25">
      <c r="A2" s="153" t="s">
        <v>1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154" t="s">
        <v>2</v>
      </c>
      <c r="B4" s="154"/>
      <c r="C4" s="154"/>
      <c r="D4" s="154"/>
      <c r="E4" s="154"/>
      <c r="F4" s="154"/>
      <c r="G4" s="154"/>
      <c r="H4" s="154"/>
      <c r="I4" s="154"/>
    </row>
    <row r="5" spans="1:9" x14ac:dyDescent="0.25">
      <c r="A5" s="4" t="s">
        <v>3</v>
      </c>
      <c r="B5" s="155" t="s">
        <v>4</v>
      </c>
      <c r="C5" s="155"/>
      <c r="D5" s="155"/>
      <c r="E5" s="155"/>
      <c r="F5" s="155"/>
      <c r="G5" s="155"/>
      <c r="H5" s="155"/>
      <c r="I5" s="5"/>
    </row>
    <row r="6" spans="1:9" x14ac:dyDescent="0.25">
      <c r="A6" s="4" t="s">
        <v>5</v>
      </c>
      <c r="B6" s="155" t="s">
        <v>6</v>
      </c>
      <c r="C6" s="155"/>
      <c r="D6" s="155"/>
      <c r="E6" s="155"/>
      <c r="F6" s="155"/>
      <c r="G6" s="155"/>
      <c r="H6" s="155"/>
      <c r="I6" s="6"/>
    </row>
    <row r="7" spans="1:9" x14ac:dyDescent="0.25">
      <c r="A7" s="4" t="s">
        <v>7</v>
      </c>
      <c r="B7" s="156" t="s">
        <v>8</v>
      </c>
      <c r="C7" s="156"/>
      <c r="D7" s="156"/>
      <c r="E7" s="156"/>
      <c r="F7" s="156"/>
      <c r="G7" s="156"/>
      <c r="H7" s="156"/>
      <c r="I7" s="4"/>
    </row>
    <row r="8" spans="1:9" x14ac:dyDescent="0.25">
      <c r="A8" s="4" t="s">
        <v>9</v>
      </c>
      <c r="B8" s="155" t="s">
        <v>10</v>
      </c>
      <c r="C8" s="155"/>
      <c r="D8" s="155"/>
      <c r="E8" s="155"/>
      <c r="F8" s="155"/>
      <c r="G8" s="155"/>
      <c r="H8" s="155"/>
      <c r="I8" s="4"/>
    </row>
    <row r="9" spans="1:9" x14ac:dyDescent="0.25">
      <c r="A9" s="1"/>
      <c r="B9" s="7"/>
      <c r="C9" s="7"/>
      <c r="D9" s="7"/>
      <c r="E9" s="7"/>
      <c r="F9" s="7"/>
      <c r="G9" s="7"/>
      <c r="H9" s="1"/>
      <c r="I9" s="1"/>
    </row>
    <row r="10" spans="1:9" x14ac:dyDescent="0.25">
      <c r="A10" s="154" t="s">
        <v>11</v>
      </c>
      <c r="B10" s="154"/>
      <c r="C10" s="154"/>
      <c r="D10" s="154"/>
      <c r="E10" s="154"/>
      <c r="F10" s="154"/>
      <c r="G10" s="154"/>
      <c r="H10" s="154"/>
      <c r="I10" s="154"/>
    </row>
    <row r="11" spans="1:9" x14ac:dyDescent="0.25">
      <c r="A11" s="157" t="s">
        <v>12</v>
      </c>
      <c r="B11" s="157"/>
      <c r="C11" s="157" t="s">
        <v>13</v>
      </c>
      <c r="D11" s="157"/>
      <c r="E11" s="157" t="s">
        <v>14</v>
      </c>
      <c r="F11" s="157"/>
      <c r="G11" s="157"/>
      <c r="H11" s="157"/>
      <c r="I11" s="157"/>
    </row>
    <row r="12" spans="1:9" x14ac:dyDescent="0.25">
      <c r="A12" s="157" t="s">
        <v>15</v>
      </c>
      <c r="B12" s="157"/>
      <c r="C12" s="158" t="s">
        <v>16</v>
      </c>
      <c r="D12" s="158"/>
      <c r="E12" s="159"/>
      <c r="F12" s="159"/>
      <c r="G12" s="159"/>
      <c r="H12" s="159"/>
      <c r="I12" s="159"/>
    </row>
    <row r="13" spans="1:9" x14ac:dyDescent="0.25">
      <c r="A13" s="1"/>
      <c r="B13" s="7"/>
      <c r="C13" s="7"/>
      <c r="D13" s="7"/>
      <c r="E13" s="7"/>
      <c r="F13" s="7"/>
      <c r="G13" s="7"/>
      <c r="H13" s="1"/>
      <c r="I13" s="1"/>
    </row>
    <row r="14" spans="1:9" x14ac:dyDescent="0.25">
      <c r="A14" s="154" t="s">
        <v>17</v>
      </c>
      <c r="B14" s="154"/>
      <c r="C14" s="154"/>
      <c r="D14" s="154"/>
      <c r="E14" s="154"/>
      <c r="F14" s="154"/>
      <c r="G14" s="154"/>
      <c r="H14" s="154"/>
      <c r="I14" s="154"/>
    </row>
    <row r="15" spans="1:9" x14ac:dyDescent="0.25">
      <c r="A15" s="4">
        <v>1</v>
      </c>
      <c r="B15" s="155" t="s">
        <v>18</v>
      </c>
      <c r="C15" s="155"/>
      <c r="D15" s="155"/>
      <c r="E15" s="155"/>
      <c r="F15" s="155"/>
      <c r="G15" s="155"/>
      <c r="H15" s="155"/>
      <c r="I15" s="4" t="s">
        <v>15</v>
      </c>
    </row>
    <row r="16" spans="1:9" x14ac:dyDescent="0.25">
      <c r="A16" s="4">
        <v>2</v>
      </c>
      <c r="B16" s="156" t="s">
        <v>19</v>
      </c>
      <c r="C16" s="156"/>
      <c r="D16" s="156"/>
      <c r="E16" s="156"/>
      <c r="F16" s="156"/>
      <c r="G16" s="156"/>
      <c r="H16" s="156"/>
      <c r="I16" s="4"/>
    </row>
    <row r="17" spans="1:10" x14ac:dyDescent="0.25">
      <c r="A17" s="4">
        <v>3</v>
      </c>
      <c r="B17" s="155" t="s">
        <v>20</v>
      </c>
      <c r="C17" s="155"/>
      <c r="D17" s="155"/>
      <c r="E17" s="155"/>
      <c r="F17" s="155"/>
      <c r="G17" s="155"/>
      <c r="H17" s="155"/>
      <c r="I17" s="8">
        <v>1110</v>
      </c>
    </row>
    <row r="18" spans="1:10" x14ac:dyDescent="0.25">
      <c r="A18" s="4">
        <v>4</v>
      </c>
      <c r="B18" s="155" t="s">
        <v>21</v>
      </c>
      <c r="C18" s="155"/>
      <c r="D18" s="155"/>
      <c r="E18" s="155"/>
      <c r="F18" s="155"/>
      <c r="G18" s="155"/>
      <c r="H18" s="155"/>
      <c r="I18" s="4" t="s">
        <v>22</v>
      </c>
    </row>
    <row r="19" spans="1:10" x14ac:dyDescent="0.25">
      <c r="A19" s="4">
        <v>5</v>
      </c>
      <c r="B19" s="155" t="s">
        <v>23</v>
      </c>
      <c r="C19" s="155"/>
      <c r="D19" s="155"/>
      <c r="E19" s="155"/>
      <c r="F19" s="155"/>
      <c r="G19" s="155"/>
      <c r="H19" s="155"/>
      <c r="I19" s="5">
        <v>42736</v>
      </c>
    </row>
    <row r="20" spans="1:10" x14ac:dyDescent="0.25">
      <c r="A20" s="160"/>
      <c r="B20" s="160"/>
      <c r="C20" s="160"/>
      <c r="D20" s="160"/>
      <c r="E20" s="160"/>
      <c r="F20" s="160"/>
      <c r="G20" s="160"/>
      <c r="H20" s="160"/>
      <c r="I20" s="160"/>
    </row>
    <row r="21" spans="1:10" x14ac:dyDescent="0.2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</row>
    <row r="22" spans="1:10" x14ac:dyDescent="0.25">
      <c r="A22" s="9">
        <v>1</v>
      </c>
      <c r="B22" s="161" t="s">
        <v>25</v>
      </c>
      <c r="C22" s="161"/>
      <c r="D22" s="161"/>
      <c r="E22" s="161"/>
      <c r="F22" s="161"/>
      <c r="G22" s="161"/>
      <c r="H22" s="9" t="s">
        <v>26</v>
      </c>
      <c r="I22" s="9" t="s">
        <v>27</v>
      </c>
    </row>
    <row r="23" spans="1:10" x14ac:dyDescent="0.25">
      <c r="A23" s="9" t="s">
        <v>3</v>
      </c>
      <c r="B23" s="156" t="s">
        <v>28</v>
      </c>
      <c r="C23" s="156"/>
      <c r="D23" s="156"/>
      <c r="E23" s="156"/>
      <c r="F23" s="156"/>
      <c r="G23" s="156"/>
      <c r="H23" s="10"/>
      <c r="I23" s="11">
        <v>1087.1600000000001</v>
      </c>
    </row>
    <row r="24" spans="1:10" x14ac:dyDescent="0.25">
      <c r="A24" s="9" t="s">
        <v>5</v>
      </c>
      <c r="B24" s="162" t="s">
        <v>29</v>
      </c>
      <c r="C24" s="162"/>
      <c r="D24" s="162"/>
      <c r="E24" s="162"/>
      <c r="F24" s="162"/>
      <c r="G24" s="162"/>
      <c r="H24" s="12">
        <v>0.2</v>
      </c>
      <c r="I24" s="13">
        <f>H24*I23</f>
        <v>217.43200000000002</v>
      </c>
    </row>
    <row r="25" spans="1:10" x14ac:dyDescent="0.25">
      <c r="A25" s="161" t="s">
        <v>30</v>
      </c>
      <c r="B25" s="161"/>
      <c r="C25" s="161"/>
      <c r="D25" s="161"/>
      <c r="E25" s="161"/>
      <c r="F25" s="161"/>
      <c r="G25" s="161"/>
      <c r="H25" s="161"/>
      <c r="I25" s="14">
        <f>TRUNC(SUM(I23:I24),2)</f>
        <v>1304.5899999999999</v>
      </c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6"/>
      <c r="J26" s="17"/>
    </row>
    <row r="27" spans="1:10" x14ac:dyDescent="0.25">
      <c r="A27" s="154" t="s">
        <v>31</v>
      </c>
      <c r="B27" s="154"/>
      <c r="C27" s="154"/>
      <c r="D27" s="154"/>
      <c r="E27" s="154"/>
      <c r="F27" s="154"/>
      <c r="G27" s="154"/>
      <c r="H27" s="154"/>
      <c r="I27" s="154"/>
      <c r="J27" s="17"/>
    </row>
    <row r="28" spans="1:10" x14ac:dyDescent="0.25">
      <c r="A28" s="161" t="s">
        <v>32</v>
      </c>
      <c r="B28" s="161"/>
      <c r="C28" s="161"/>
      <c r="D28" s="161"/>
      <c r="E28" s="161"/>
      <c r="F28" s="161"/>
      <c r="G28" s="161"/>
      <c r="H28" s="9" t="s">
        <v>26</v>
      </c>
      <c r="I28" s="9" t="s">
        <v>27</v>
      </c>
      <c r="J28" s="17"/>
    </row>
    <row r="29" spans="1:10" x14ac:dyDescent="0.25">
      <c r="A29" s="9" t="s">
        <v>3</v>
      </c>
      <c r="B29" s="156" t="s">
        <v>33</v>
      </c>
      <c r="C29" s="156"/>
      <c r="D29" s="156"/>
      <c r="E29" s="156"/>
      <c r="F29" s="156"/>
      <c r="G29" s="156"/>
      <c r="H29" s="18">
        <v>8.3299999999999999E-2</v>
      </c>
      <c r="I29" s="11">
        <f>$I$25*H29</f>
        <v>108.67234699999999</v>
      </c>
      <c r="J29" s="17"/>
    </row>
    <row r="30" spans="1:10" x14ac:dyDescent="0.25">
      <c r="A30" s="9" t="s">
        <v>5</v>
      </c>
      <c r="B30" s="156" t="s">
        <v>34</v>
      </c>
      <c r="C30" s="156"/>
      <c r="D30" s="156"/>
      <c r="E30" s="156"/>
      <c r="F30" s="156"/>
      <c r="G30" s="156"/>
      <c r="H30" s="19">
        <v>2.7799999999999998E-2</v>
      </c>
      <c r="I30" s="11">
        <f>H30*I25</f>
        <v>36.267601999999997</v>
      </c>
      <c r="J30" s="17"/>
    </row>
    <row r="31" spans="1:10" x14ac:dyDescent="0.25">
      <c r="A31" s="161" t="s">
        <v>35</v>
      </c>
      <c r="B31" s="161"/>
      <c r="C31" s="161"/>
      <c r="D31" s="161"/>
      <c r="E31" s="161"/>
      <c r="F31" s="161"/>
      <c r="G31" s="161"/>
      <c r="H31" s="20">
        <f>TRUNC(SUM(H29:H30),4)</f>
        <v>0.1111</v>
      </c>
      <c r="I31" s="21">
        <f>TRUNC(SUM(I29:I30),2)</f>
        <v>144.93</v>
      </c>
      <c r="J31" s="17"/>
    </row>
    <row r="32" spans="1:10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7"/>
    </row>
    <row r="33" spans="1:12" x14ac:dyDescent="0.25">
      <c r="A33" s="161" t="s">
        <v>36</v>
      </c>
      <c r="B33" s="161"/>
      <c r="C33" s="161"/>
      <c r="D33" s="161"/>
      <c r="E33" s="161"/>
      <c r="F33" s="161"/>
      <c r="G33" s="161"/>
      <c r="H33" s="9" t="s">
        <v>26</v>
      </c>
      <c r="I33" s="9" t="s">
        <v>27</v>
      </c>
      <c r="J33" s="17"/>
      <c r="K33" s="22" t="s">
        <v>37</v>
      </c>
      <c r="L33" s="23"/>
    </row>
    <row r="34" spans="1:12" x14ac:dyDescent="0.25">
      <c r="A34" s="9" t="s">
        <v>3</v>
      </c>
      <c r="B34" s="156" t="s">
        <v>38</v>
      </c>
      <c r="C34" s="156"/>
      <c r="D34" s="156"/>
      <c r="E34" s="156"/>
      <c r="F34" s="156"/>
      <c r="G34" s="156"/>
      <c r="H34" s="18">
        <v>0.2</v>
      </c>
      <c r="I34" s="11">
        <f t="shared" ref="I34:I41" si="0">H34*$I$25</f>
        <v>260.91800000000001</v>
      </c>
      <c r="J34" s="17"/>
      <c r="K34" s="24" t="s">
        <v>39</v>
      </c>
      <c r="L34" s="23"/>
    </row>
    <row r="35" spans="1:12" x14ac:dyDescent="0.25">
      <c r="A35" s="9" t="s">
        <v>5</v>
      </c>
      <c r="B35" s="156" t="s">
        <v>40</v>
      </c>
      <c r="C35" s="156"/>
      <c r="D35" s="156"/>
      <c r="E35" s="156"/>
      <c r="F35" s="156"/>
      <c r="G35" s="156"/>
      <c r="H35" s="18">
        <v>0</v>
      </c>
      <c r="I35" s="11">
        <f t="shared" si="0"/>
        <v>0</v>
      </c>
      <c r="J35" s="17"/>
      <c r="K35" s="22" t="s">
        <v>41</v>
      </c>
    </row>
    <row r="36" spans="1:12" x14ac:dyDescent="0.25">
      <c r="A36" s="9" t="s">
        <v>7</v>
      </c>
      <c r="B36" s="156" t="s">
        <v>42</v>
      </c>
      <c r="C36" s="156"/>
      <c r="D36" s="156"/>
      <c r="E36" s="156"/>
      <c r="F36" s="156"/>
      <c r="G36" s="156"/>
      <c r="H36" s="25">
        <v>0.03</v>
      </c>
      <c r="I36" s="11">
        <f t="shared" si="0"/>
        <v>39.137699999999995</v>
      </c>
      <c r="J36" s="17"/>
      <c r="K36" s="22" t="s">
        <v>43</v>
      </c>
    </row>
    <row r="37" spans="1:12" x14ac:dyDescent="0.25">
      <c r="A37" s="9" t="s">
        <v>9</v>
      </c>
      <c r="B37" s="156" t="s">
        <v>44</v>
      </c>
      <c r="C37" s="156"/>
      <c r="D37" s="156"/>
      <c r="E37" s="156"/>
      <c r="F37" s="156"/>
      <c r="G37" s="156"/>
      <c r="H37" s="18">
        <v>0</v>
      </c>
      <c r="I37" s="11">
        <f t="shared" si="0"/>
        <v>0</v>
      </c>
      <c r="J37" s="17"/>
    </row>
    <row r="38" spans="1:12" x14ac:dyDescent="0.25">
      <c r="A38" s="9" t="s">
        <v>45</v>
      </c>
      <c r="B38" s="156" t="s">
        <v>46</v>
      </c>
      <c r="C38" s="156"/>
      <c r="D38" s="156"/>
      <c r="E38" s="156"/>
      <c r="F38" s="156"/>
      <c r="G38" s="156"/>
      <c r="H38" s="18">
        <v>0</v>
      </c>
      <c r="I38" s="11">
        <f t="shared" si="0"/>
        <v>0</v>
      </c>
      <c r="J38" s="17"/>
    </row>
    <row r="39" spans="1:12" x14ac:dyDescent="0.25">
      <c r="A39" s="9" t="s">
        <v>47</v>
      </c>
      <c r="B39" s="156" t="s">
        <v>48</v>
      </c>
      <c r="C39" s="156"/>
      <c r="D39" s="156"/>
      <c r="E39" s="156"/>
      <c r="F39" s="156"/>
      <c r="G39" s="156"/>
      <c r="H39" s="18">
        <v>0</v>
      </c>
      <c r="I39" s="11">
        <f t="shared" si="0"/>
        <v>0</v>
      </c>
      <c r="J39" s="17"/>
    </row>
    <row r="40" spans="1:12" x14ac:dyDescent="0.25">
      <c r="A40" s="9" t="s">
        <v>49</v>
      </c>
      <c r="B40" s="156" t="s">
        <v>50</v>
      </c>
      <c r="C40" s="156"/>
      <c r="D40" s="156"/>
      <c r="E40" s="156"/>
      <c r="F40" s="156"/>
      <c r="G40" s="156"/>
      <c r="H40" s="18">
        <v>0</v>
      </c>
      <c r="I40" s="11">
        <f t="shared" si="0"/>
        <v>0</v>
      </c>
      <c r="J40" s="17"/>
    </row>
    <row r="41" spans="1:12" x14ac:dyDescent="0.25">
      <c r="A41" s="9" t="s">
        <v>51</v>
      </c>
      <c r="B41" s="156" t="s">
        <v>52</v>
      </c>
      <c r="C41" s="156"/>
      <c r="D41" s="156"/>
      <c r="E41" s="156"/>
      <c r="F41" s="156"/>
      <c r="G41" s="156"/>
      <c r="H41" s="18">
        <v>0.08</v>
      </c>
      <c r="I41" s="11">
        <f t="shared" si="0"/>
        <v>104.3672</v>
      </c>
      <c r="J41" s="17"/>
    </row>
    <row r="42" spans="1:12" x14ac:dyDescent="0.25">
      <c r="A42" s="161" t="s">
        <v>53</v>
      </c>
      <c r="B42" s="161"/>
      <c r="C42" s="161"/>
      <c r="D42" s="161"/>
      <c r="E42" s="161"/>
      <c r="F42" s="161"/>
      <c r="G42" s="161"/>
      <c r="H42" s="20">
        <f>SUM(H34:H41)</f>
        <v>0.31</v>
      </c>
      <c r="I42" s="21">
        <f>TRUNC(SUM(I34:I41),2)</f>
        <v>404.42</v>
      </c>
      <c r="J42" s="17"/>
      <c r="K42" s="26"/>
    </row>
    <row r="43" spans="1:12" x14ac:dyDescent="0.25">
      <c r="A43" s="164"/>
      <c r="B43" s="164"/>
      <c r="C43" s="164"/>
      <c r="D43" s="164"/>
      <c r="E43" s="164"/>
      <c r="F43" s="164"/>
      <c r="G43" s="164"/>
      <c r="H43" s="164"/>
      <c r="I43" s="164"/>
      <c r="J43" s="17"/>
    </row>
    <row r="44" spans="1:12" x14ac:dyDescent="0.25">
      <c r="A44" s="161" t="s">
        <v>54</v>
      </c>
      <c r="B44" s="161"/>
      <c r="C44" s="161"/>
      <c r="D44" s="161"/>
      <c r="E44" s="161"/>
      <c r="F44" s="161"/>
      <c r="G44" s="161"/>
      <c r="H44" s="20"/>
      <c r="I44" s="9" t="s">
        <v>27</v>
      </c>
      <c r="J44" s="17"/>
    </row>
    <row r="45" spans="1:12" x14ac:dyDescent="0.25">
      <c r="A45" s="9" t="s">
        <v>3</v>
      </c>
      <c r="B45" s="165" t="s">
        <v>55</v>
      </c>
      <c r="C45" s="165"/>
      <c r="D45" s="165"/>
      <c r="E45" s="165"/>
      <c r="F45" s="165"/>
      <c r="G45" s="165"/>
      <c r="H45" s="27">
        <v>3.95</v>
      </c>
      <c r="I45" s="28">
        <f>(3.85*2*21)-(I23*0.06)</f>
        <v>96.470400000000012</v>
      </c>
      <c r="J45" s="17"/>
    </row>
    <row r="46" spans="1:12" x14ac:dyDescent="0.25">
      <c r="A46" s="9" t="s">
        <v>5</v>
      </c>
      <c r="B46" s="166" t="s">
        <v>56</v>
      </c>
      <c r="C46" s="166"/>
      <c r="D46" s="166"/>
      <c r="E46" s="166"/>
      <c r="F46" s="166"/>
      <c r="G46" s="166"/>
      <c r="H46" s="6">
        <v>16</v>
      </c>
      <c r="I46" s="29">
        <f>(H46*22)*0.99</f>
        <v>348.48</v>
      </c>
      <c r="J46" s="17"/>
    </row>
    <row r="47" spans="1:12" x14ac:dyDescent="0.25">
      <c r="A47" s="9" t="s">
        <v>7</v>
      </c>
      <c r="B47" s="166" t="s">
        <v>57</v>
      </c>
      <c r="C47" s="166"/>
      <c r="D47" s="166"/>
      <c r="E47" s="166"/>
      <c r="F47" s="166"/>
      <c r="G47" s="166"/>
      <c r="H47" s="18">
        <v>4.0000000000000001E-3</v>
      </c>
      <c r="I47" s="29">
        <f>H47*I23</f>
        <v>4.3486400000000005</v>
      </c>
      <c r="J47" s="17"/>
    </row>
    <row r="48" spans="1:12" x14ac:dyDescent="0.25">
      <c r="A48" s="9"/>
      <c r="B48" s="162"/>
      <c r="C48" s="162"/>
      <c r="D48" s="162"/>
      <c r="E48" s="162"/>
      <c r="F48" s="162"/>
      <c r="G48" s="162"/>
      <c r="H48" s="30"/>
      <c r="I48" s="31"/>
      <c r="J48" s="17"/>
    </row>
    <row r="49" spans="1:10" x14ac:dyDescent="0.25">
      <c r="A49" s="9" t="s">
        <v>9</v>
      </c>
      <c r="B49" s="165" t="s">
        <v>58</v>
      </c>
      <c r="C49" s="165"/>
      <c r="D49" s="165"/>
      <c r="E49" s="165"/>
      <c r="F49" s="165"/>
      <c r="G49" s="165"/>
      <c r="H49" s="32">
        <v>0.01</v>
      </c>
      <c r="I49" s="28">
        <f>H49*I23</f>
        <v>10.871600000000001</v>
      </c>
      <c r="J49" s="17"/>
    </row>
    <row r="50" spans="1:10" x14ac:dyDescent="0.25">
      <c r="A50" s="161" t="s">
        <v>59</v>
      </c>
      <c r="B50" s="161"/>
      <c r="C50" s="161"/>
      <c r="D50" s="161"/>
      <c r="E50" s="161"/>
      <c r="F50" s="161"/>
      <c r="G50" s="161"/>
      <c r="H50" s="161"/>
      <c r="I50" s="21">
        <f>TRUNC(SUM(I45:I49),2)</f>
        <v>460.17</v>
      </c>
      <c r="J50" s="17"/>
    </row>
    <row r="51" spans="1:10" x14ac:dyDescent="0.25">
      <c r="A51" s="164"/>
      <c r="B51" s="164"/>
      <c r="C51" s="164"/>
      <c r="D51" s="164"/>
      <c r="E51" s="164"/>
      <c r="F51" s="164"/>
      <c r="G51" s="164"/>
      <c r="H51" s="164"/>
      <c r="I51" s="164"/>
      <c r="J51" s="17"/>
    </row>
    <row r="52" spans="1:10" x14ac:dyDescent="0.25">
      <c r="A52" s="154" t="s">
        <v>60</v>
      </c>
      <c r="B52" s="154"/>
      <c r="C52" s="154"/>
      <c r="D52" s="154"/>
      <c r="E52" s="154"/>
      <c r="F52" s="154"/>
      <c r="G52" s="154"/>
      <c r="H52" s="154"/>
      <c r="I52" s="154"/>
      <c r="J52" s="17"/>
    </row>
    <row r="53" spans="1:10" x14ac:dyDescent="0.25">
      <c r="A53" s="161" t="s">
        <v>61</v>
      </c>
      <c r="B53" s="161"/>
      <c r="C53" s="161"/>
      <c r="D53" s="161"/>
      <c r="E53" s="161"/>
      <c r="F53" s="161"/>
      <c r="G53" s="161"/>
      <c r="H53" s="161"/>
      <c r="I53" s="9" t="s">
        <v>27</v>
      </c>
      <c r="J53" s="17"/>
    </row>
    <row r="54" spans="1:10" x14ac:dyDescent="0.25">
      <c r="A54" s="9" t="s">
        <v>62</v>
      </c>
      <c r="B54" s="158" t="s">
        <v>63</v>
      </c>
      <c r="C54" s="158"/>
      <c r="D54" s="158"/>
      <c r="E54" s="158"/>
      <c r="F54" s="158"/>
      <c r="G54" s="158"/>
      <c r="H54" s="158"/>
      <c r="I54" s="33">
        <f>I31</f>
        <v>144.93</v>
      </c>
      <c r="J54" s="17"/>
    </row>
    <row r="55" spans="1:10" x14ac:dyDescent="0.25">
      <c r="A55" s="9" t="s">
        <v>64</v>
      </c>
      <c r="B55" s="158" t="s">
        <v>65</v>
      </c>
      <c r="C55" s="158"/>
      <c r="D55" s="158"/>
      <c r="E55" s="158"/>
      <c r="F55" s="158"/>
      <c r="G55" s="158"/>
      <c r="H55" s="158"/>
      <c r="I55" s="33">
        <f>I42</f>
        <v>404.42</v>
      </c>
      <c r="J55" s="17"/>
    </row>
    <row r="56" spans="1:10" x14ac:dyDescent="0.25">
      <c r="A56" s="9" t="s">
        <v>66</v>
      </c>
      <c r="B56" s="158" t="s">
        <v>67</v>
      </c>
      <c r="C56" s="158"/>
      <c r="D56" s="158"/>
      <c r="E56" s="158"/>
      <c r="F56" s="158"/>
      <c r="G56" s="158"/>
      <c r="H56" s="158"/>
      <c r="I56" s="33">
        <f>I50</f>
        <v>460.17</v>
      </c>
      <c r="J56" s="17"/>
    </row>
    <row r="57" spans="1:10" x14ac:dyDescent="0.25">
      <c r="A57" s="161" t="s">
        <v>68</v>
      </c>
      <c r="B57" s="161"/>
      <c r="C57" s="161"/>
      <c r="D57" s="161"/>
      <c r="E57" s="161"/>
      <c r="F57" s="161"/>
      <c r="G57" s="161"/>
      <c r="H57" s="161"/>
      <c r="I57" s="21">
        <f>TRUNC(SUM(I54:I56),2)</f>
        <v>1009.52</v>
      </c>
      <c r="J57" s="17"/>
    </row>
    <row r="58" spans="1:10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7"/>
    </row>
    <row r="59" spans="1:10" x14ac:dyDescent="0.25">
      <c r="A59" s="154" t="s">
        <v>69</v>
      </c>
      <c r="B59" s="154"/>
      <c r="C59" s="154"/>
      <c r="D59" s="154"/>
      <c r="E59" s="154"/>
      <c r="F59" s="154"/>
      <c r="G59" s="154"/>
      <c r="H59" s="154"/>
      <c r="I59" s="154"/>
      <c r="J59" s="17"/>
    </row>
    <row r="60" spans="1:10" x14ac:dyDescent="0.25">
      <c r="A60" s="9">
        <v>3</v>
      </c>
      <c r="B60" s="161" t="s">
        <v>70</v>
      </c>
      <c r="C60" s="161"/>
      <c r="D60" s="161"/>
      <c r="E60" s="161"/>
      <c r="F60" s="161"/>
      <c r="G60" s="161"/>
      <c r="H60" s="9" t="s">
        <v>26</v>
      </c>
      <c r="I60" s="9" t="s">
        <v>27</v>
      </c>
      <c r="J60" s="17"/>
    </row>
    <row r="61" spans="1:10" x14ac:dyDescent="0.25">
      <c r="A61" s="9" t="s">
        <v>3</v>
      </c>
      <c r="B61" s="156" t="s">
        <v>71</v>
      </c>
      <c r="C61" s="156"/>
      <c r="D61" s="156"/>
      <c r="E61" s="156"/>
      <c r="F61" s="156"/>
      <c r="G61" s="156"/>
      <c r="H61" s="34">
        <v>4.1999999999999997E-3</v>
      </c>
      <c r="I61" s="33">
        <f>$I$25*H61</f>
        <v>5.479277999999999</v>
      </c>
      <c r="J61" s="17"/>
    </row>
    <row r="62" spans="1:10" x14ac:dyDescent="0.25">
      <c r="A62" s="9" t="s">
        <v>5</v>
      </c>
      <c r="B62" s="156" t="s">
        <v>72</v>
      </c>
      <c r="C62" s="156"/>
      <c r="D62" s="156"/>
      <c r="E62" s="156"/>
      <c r="F62" s="156"/>
      <c r="G62" s="156"/>
      <c r="H62" s="35">
        <f>0.08*H61</f>
        <v>3.3599999999999998E-4</v>
      </c>
      <c r="I62" s="11">
        <f>H62*I25</f>
        <v>0.43834223999999994</v>
      </c>
      <c r="J62" s="17"/>
    </row>
    <row r="63" spans="1:10" x14ac:dyDescent="0.25">
      <c r="A63" s="9" t="s">
        <v>7</v>
      </c>
      <c r="B63" s="156" t="s">
        <v>73</v>
      </c>
      <c r="C63" s="156"/>
      <c r="D63" s="156"/>
      <c r="E63" s="156"/>
      <c r="F63" s="156"/>
      <c r="G63" s="156"/>
      <c r="H63" s="25">
        <f>0.5*H62</f>
        <v>1.6799999999999999E-4</v>
      </c>
      <c r="I63" s="11">
        <f>$I$25*H63</f>
        <v>0.21917111999999997</v>
      </c>
      <c r="J63" s="17"/>
    </row>
    <row r="64" spans="1:10" x14ac:dyDescent="0.25">
      <c r="A64" s="9" t="s">
        <v>9</v>
      </c>
      <c r="B64" s="156" t="s">
        <v>74</v>
      </c>
      <c r="C64" s="156"/>
      <c r="D64" s="156"/>
      <c r="E64" s="156"/>
      <c r="F64" s="156"/>
      <c r="G64" s="156"/>
      <c r="H64" s="18">
        <v>4.0000000000000002E-4</v>
      </c>
      <c r="I64" s="11">
        <f>$I$25*H64</f>
        <v>0.52183599999999997</v>
      </c>
      <c r="J64" s="17"/>
    </row>
    <row r="65" spans="1:10" x14ac:dyDescent="0.25">
      <c r="A65" s="9" t="s">
        <v>45</v>
      </c>
      <c r="B65" s="156" t="s">
        <v>75</v>
      </c>
      <c r="C65" s="156"/>
      <c r="D65" s="156"/>
      <c r="E65" s="156"/>
      <c r="F65" s="156"/>
      <c r="G65" s="156"/>
      <c r="H65" s="19">
        <f>H42*H64</f>
        <v>1.2400000000000001E-4</v>
      </c>
      <c r="I65" s="11">
        <f>$I$25*H65</f>
        <v>0.16176916</v>
      </c>
      <c r="J65" s="17"/>
    </row>
    <row r="66" spans="1:10" x14ac:dyDescent="0.25">
      <c r="A66" s="9" t="s">
        <v>47</v>
      </c>
      <c r="B66" s="156" t="s">
        <v>76</v>
      </c>
      <c r="C66" s="156"/>
      <c r="D66" s="156"/>
      <c r="E66" s="156"/>
      <c r="F66" s="156"/>
      <c r="G66" s="156"/>
      <c r="H66" s="36">
        <f>0.5*0.08*H64</f>
        <v>1.6000000000000003E-5</v>
      </c>
      <c r="I66" s="11">
        <f>$I$25*H66</f>
        <v>2.0873440000000004E-2</v>
      </c>
      <c r="J66" s="17"/>
    </row>
    <row r="67" spans="1:10" x14ac:dyDescent="0.25">
      <c r="A67" s="161" t="s">
        <v>77</v>
      </c>
      <c r="B67" s="161"/>
      <c r="C67" s="161"/>
      <c r="D67" s="161"/>
      <c r="E67" s="161"/>
      <c r="F67" s="161"/>
      <c r="G67" s="161"/>
      <c r="H67" s="20">
        <f>TRUNC(SUM(H61:H66),4)</f>
        <v>5.1999999999999998E-3</v>
      </c>
      <c r="I67" s="21">
        <f>TRUNC(SUM(I61:I66),2)</f>
        <v>6.84</v>
      </c>
      <c r="J67" s="17"/>
    </row>
    <row r="68" spans="1:10" x14ac:dyDescent="0.25">
      <c r="A68" s="168"/>
      <c r="B68" s="168"/>
      <c r="C68" s="168"/>
      <c r="D68" s="168"/>
      <c r="E68" s="168"/>
      <c r="F68" s="168"/>
      <c r="G68" s="168"/>
      <c r="H68" s="168"/>
      <c r="I68" s="168"/>
      <c r="J68" s="17"/>
    </row>
    <row r="69" spans="1:10" x14ac:dyDescent="0.25">
      <c r="A69" s="154" t="s">
        <v>78</v>
      </c>
      <c r="B69" s="154"/>
      <c r="C69" s="154"/>
      <c r="D69" s="154"/>
      <c r="E69" s="154"/>
      <c r="F69" s="154"/>
      <c r="G69" s="154"/>
      <c r="H69" s="154"/>
      <c r="I69" s="154"/>
      <c r="J69" s="17"/>
    </row>
    <row r="70" spans="1:10" x14ac:dyDescent="0.25">
      <c r="A70" s="161" t="s">
        <v>79</v>
      </c>
      <c r="B70" s="161"/>
      <c r="C70" s="161"/>
      <c r="D70" s="161"/>
      <c r="E70" s="161"/>
      <c r="F70" s="161"/>
      <c r="G70" s="161"/>
      <c r="H70" s="9" t="s">
        <v>26</v>
      </c>
      <c r="I70" s="9" t="s">
        <v>27</v>
      </c>
      <c r="J70" s="17"/>
    </row>
    <row r="71" spans="1:10" x14ac:dyDescent="0.25">
      <c r="A71" s="9" t="s">
        <v>3</v>
      </c>
      <c r="B71" s="156" t="s">
        <v>80</v>
      </c>
      <c r="C71" s="156"/>
      <c r="D71" s="156"/>
      <c r="E71" s="156"/>
      <c r="F71" s="156"/>
      <c r="G71" s="156"/>
      <c r="H71" s="37">
        <v>8.3299999999999999E-2</v>
      </c>
      <c r="I71" s="11">
        <f t="shared" ref="I71:I76" si="1">$I$25*H71</f>
        <v>108.67234699999999</v>
      </c>
      <c r="J71" s="17"/>
    </row>
    <row r="72" spans="1:10" x14ac:dyDescent="0.25">
      <c r="A72" s="9" t="s">
        <v>5</v>
      </c>
      <c r="B72" s="156" t="s">
        <v>81</v>
      </c>
      <c r="C72" s="156"/>
      <c r="D72" s="156"/>
      <c r="E72" s="156"/>
      <c r="F72" s="156"/>
      <c r="G72" s="156"/>
      <c r="H72" s="37">
        <v>8.2000000000000007E-3</v>
      </c>
      <c r="I72" s="33">
        <f t="shared" si="1"/>
        <v>10.697638</v>
      </c>
      <c r="J72" s="17"/>
    </row>
    <row r="73" spans="1:10" x14ac:dyDescent="0.25">
      <c r="A73" s="9" t="s">
        <v>7</v>
      </c>
      <c r="B73" s="156" t="s">
        <v>82</v>
      </c>
      <c r="C73" s="156"/>
      <c r="D73" s="156"/>
      <c r="E73" s="156"/>
      <c r="F73" s="156"/>
      <c r="G73" s="156"/>
      <c r="H73" s="37">
        <v>2.0000000000000001E-4</v>
      </c>
      <c r="I73" s="33">
        <f t="shared" si="1"/>
        <v>0.26091799999999998</v>
      </c>
      <c r="J73" s="17"/>
    </row>
    <row r="74" spans="1:10" x14ac:dyDescent="0.25">
      <c r="A74" s="9" t="s">
        <v>9</v>
      </c>
      <c r="B74" s="156" t="s">
        <v>83</v>
      </c>
      <c r="C74" s="156"/>
      <c r="D74" s="156"/>
      <c r="E74" s="156"/>
      <c r="F74" s="156"/>
      <c r="G74" s="156"/>
      <c r="H74" s="34">
        <v>2.9999999999999997E-4</v>
      </c>
      <c r="I74" s="33">
        <f t="shared" si="1"/>
        <v>0.39137699999999992</v>
      </c>
      <c r="J74" s="17"/>
    </row>
    <row r="75" spans="1:10" x14ac:dyDescent="0.25">
      <c r="A75" s="9" t="s">
        <v>45</v>
      </c>
      <c r="B75" s="156" t="s">
        <v>84</v>
      </c>
      <c r="C75" s="156"/>
      <c r="D75" s="156"/>
      <c r="E75" s="156"/>
      <c r="F75" s="156"/>
      <c r="G75" s="156"/>
      <c r="H75" s="37">
        <v>6.1000000000000004E-3</v>
      </c>
      <c r="I75" s="33">
        <f t="shared" si="1"/>
        <v>7.957999</v>
      </c>
      <c r="J75" s="17"/>
    </row>
    <row r="76" spans="1:10" x14ac:dyDescent="0.25">
      <c r="A76" s="9" t="s">
        <v>47</v>
      </c>
      <c r="B76" s="156" t="s">
        <v>85</v>
      </c>
      <c r="C76" s="156"/>
      <c r="D76" s="156"/>
      <c r="E76" s="156"/>
      <c r="F76" s="156"/>
      <c r="G76" s="156"/>
      <c r="H76" s="37">
        <v>0</v>
      </c>
      <c r="I76" s="33">
        <f t="shared" si="1"/>
        <v>0</v>
      </c>
      <c r="J76" s="17"/>
    </row>
    <row r="77" spans="1:10" x14ac:dyDescent="0.25">
      <c r="A77" s="161" t="s">
        <v>86</v>
      </c>
      <c r="B77" s="161"/>
      <c r="C77" s="161"/>
      <c r="D77" s="161"/>
      <c r="E77" s="161"/>
      <c r="F77" s="161"/>
      <c r="G77" s="161"/>
      <c r="H77" s="20">
        <f>TRUNC(SUM(H71:H76),4)</f>
        <v>9.8100000000000007E-2</v>
      </c>
      <c r="I77" s="21">
        <f>TRUNC(SUM(I71:I76),2)</f>
        <v>127.98</v>
      </c>
      <c r="J77" s="17"/>
    </row>
    <row r="78" spans="1:10" x14ac:dyDescent="0.25">
      <c r="A78" s="169"/>
      <c r="B78" s="169"/>
      <c r="C78" s="169"/>
      <c r="D78" s="169"/>
      <c r="E78" s="169"/>
      <c r="F78" s="169"/>
      <c r="G78" s="169"/>
      <c r="H78" s="169"/>
      <c r="I78" s="169"/>
      <c r="J78" s="17"/>
    </row>
    <row r="79" spans="1:10" x14ac:dyDescent="0.25">
      <c r="A79" s="161" t="s">
        <v>87</v>
      </c>
      <c r="B79" s="161"/>
      <c r="C79" s="161"/>
      <c r="D79" s="161"/>
      <c r="E79" s="161"/>
      <c r="F79" s="161"/>
      <c r="G79" s="161"/>
      <c r="H79" s="9" t="s">
        <v>26</v>
      </c>
      <c r="I79" s="9" t="s">
        <v>27</v>
      </c>
      <c r="J79" s="17"/>
    </row>
    <row r="80" spans="1:10" x14ac:dyDescent="0.25">
      <c r="A80" s="9" t="s">
        <v>3</v>
      </c>
      <c r="B80" s="156" t="s">
        <v>88</v>
      </c>
      <c r="C80" s="156"/>
      <c r="D80" s="156"/>
      <c r="E80" s="156"/>
      <c r="F80" s="156"/>
      <c r="G80" s="156"/>
      <c r="H80" s="37">
        <v>0</v>
      </c>
      <c r="I80" s="11">
        <f>$I$25*H80</f>
        <v>0</v>
      </c>
      <c r="J80" s="17"/>
    </row>
    <row r="81" spans="1:10" x14ac:dyDescent="0.25">
      <c r="A81" s="161" t="s">
        <v>89</v>
      </c>
      <c r="B81" s="161"/>
      <c r="C81" s="161"/>
      <c r="D81" s="161"/>
      <c r="E81" s="161"/>
      <c r="F81" s="161"/>
      <c r="G81" s="161"/>
      <c r="H81" s="20">
        <f>TRUNC(SUM(H80),4)</f>
        <v>0</v>
      </c>
      <c r="I81" s="21">
        <f>TRUNC(SUM(I80),2)</f>
        <v>0</v>
      </c>
      <c r="J81" s="17"/>
    </row>
    <row r="82" spans="1:10" x14ac:dyDescent="0.25">
      <c r="A82" s="170"/>
      <c r="B82" s="170"/>
      <c r="C82" s="170"/>
      <c r="D82" s="170"/>
      <c r="E82" s="170"/>
      <c r="F82" s="170"/>
      <c r="G82" s="170"/>
      <c r="H82" s="170"/>
      <c r="I82" s="170"/>
      <c r="J82" s="17"/>
    </row>
    <row r="83" spans="1:10" x14ac:dyDescent="0.25">
      <c r="A83" s="154" t="s">
        <v>90</v>
      </c>
      <c r="B83" s="154"/>
      <c r="C83" s="154"/>
      <c r="D83" s="154"/>
      <c r="E83" s="154"/>
      <c r="F83" s="154"/>
      <c r="G83" s="154"/>
      <c r="H83" s="154"/>
      <c r="I83" s="154"/>
      <c r="J83" s="17"/>
    </row>
    <row r="84" spans="1:10" x14ac:dyDescent="0.25">
      <c r="A84" s="161" t="s">
        <v>91</v>
      </c>
      <c r="B84" s="161"/>
      <c r="C84" s="161"/>
      <c r="D84" s="161"/>
      <c r="E84" s="161"/>
      <c r="F84" s="161"/>
      <c r="G84" s="161"/>
      <c r="H84" s="161"/>
      <c r="I84" s="9" t="s">
        <v>27</v>
      </c>
      <c r="J84" s="17"/>
    </row>
    <row r="85" spans="1:10" x14ac:dyDescent="0.25">
      <c r="A85" s="9" t="s">
        <v>92</v>
      </c>
      <c r="B85" s="158" t="s">
        <v>81</v>
      </c>
      <c r="C85" s="158"/>
      <c r="D85" s="158"/>
      <c r="E85" s="158"/>
      <c r="F85" s="158"/>
      <c r="G85" s="158"/>
      <c r="H85" s="158"/>
      <c r="I85" s="33">
        <f>I77</f>
        <v>127.98</v>
      </c>
      <c r="J85" s="17"/>
    </row>
    <row r="86" spans="1:10" x14ac:dyDescent="0.25">
      <c r="A86" s="9" t="s">
        <v>93</v>
      </c>
      <c r="B86" s="158" t="s">
        <v>94</v>
      </c>
      <c r="C86" s="158"/>
      <c r="D86" s="158"/>
      <c r="E86" s="158"/>
      <c r="F86" s="158"/>
      <c r="G86" s="158"/>
      <c r="H86" s="158"/>
      <c r="I86" s="33">
        <f>I81</f>
        <v>0</v>
      </c>
      <c r="J86" s="17"/>
    </row>
    <row r="87" spans="1:10" x14ac:dyDescent="0.25">
      <c r="A87" s="161" t="s">
        <v>95</v>
      </c>
      <c r="B87" s="161"/>
      <c r="C87" s="161"/>
      <c r="D87" s="161"/>
      <c r="E87" s="161"/>
      <c r="F87" s="161"/>
      <c r="G87" s="161"/>
      <c r="H87" s="161"/>
      <c r="I87" s="21">
        <f>TRUNC(SUM(I85:I86),2)</f>
        <v>127.98</v>
      </c>
      <c r="J87" s="17"/>
    </row>
    <row r="88" spans="1:10" x14ac:dyDescent="0.25">
      <c r="A88" s="167"/>
      <c r="B88" s="167"/>
      <c r="C88" s="167"/>
      <c r="D88" s="167"/>
      <c r="E88" s="167"/>
      <c r="F88" s="167"/>
      <c r="G88" s="167"/>
      <c r="H88" s="167"/>
      <c r="I88" s="167"/>
      <c r="J88" s="17"/>
    </row>
    <row r="89" spans="1:10" x14ac:dyDescent="0.25">
      <c r="A89" s="154" t="s">
        <v>96</v>
      </c>
      <c r="B89" s="154"/>
      <c r="C89" s="154"/>
      <c r="D89" s="154"/>
      <c r="E89" s="154"/>
      <c r="F89" s="154"/>
      <c r="G89" s="154"/>
      <c r="H89" s="154"/>
      <c r="I89" s="154"/>
      <c r="J89" s="17"/>
    </row>
    <row r="90" spans="1:10" x14ac:dyDescent="0.25">
      <c r="A90" s="9">
        <v>5</v>
      </c>
      <c r="B90" s="161" t="s">
        <v>97</v>
      </c>
      <c r="C90" s="161"/>
      <c r="D90" s="161"/>
      <c r="E90" s="161"/>
      <c r="F90" s="161"/>
      <c r="G90" s="161"/>
      <c r="H90" s="9"/>
      <c r="I90" s="9" t="s">
        <v>27</v>
      </c>
      <c r="J90" s="17"/>
    </row>
    <row r="91" spans="1:10" x14ac:dyDescent="0.25">
      <c r="A91" s="9" t="s">
        <v>3</v>
      </c>
      <c r="B91" s="166" t="s">
        <v>98</v>
      </c>
      <c r="C91" s="166"/>
      <c r="D91" s="166"/>
      <c r="E91" s="166"/>
      <c r="F91" s="166"/>
      <c r="G91" s="166"/>
      <c r="H91" s="6" t="s">
        <v>99</v>
      </c>
      <c r="I91" s="33">
        <v>18</v>
      </c>
      <c r="J91" s="17"/>
    </row>
    <row r="92" spans="1:10" x14ac:dyDescent="0.25">
      <c r="A92" s="9" t="s">
        <v>5</v>
      </c>
      <c r="B92" s="166" t="s">
        <v>100</v>
      </c>
      <c r="C92" s="166"/>
      <c r="D92" s="166"/>
      <c r="E92" s="166"/>
      <c r="F92" s="166"/>
      <c r="G92" s="166"/>
      <c r="H92" s="6" t="s">
        <v>99</v>
      </c>
      <c r="I92" s="33">
        <v>320.55</v>
      </c>
      <c r="J92" s="17"/>
    </row>
    <row r="93" spans="1:10" x14ac:dyDescent="0.25">
      <c r="A93" s="38" t="s">
        <v>7</v>
      </c>
      <c r="B93" s="166" t="s">
        <v>101</v>
      </c>
      <c r="C93" s="166"/>
      <c r="D93" s="166"/>
      <c r="E93" s="166"/>
      <c r="F93" s="166"/>
      <c r="G93" s="166"/>
      <c r="H93" s="6" t="s">
        <v>99</v>
      </c>
      <c r="I93" s="33">
        <v>26</v>
      </c>
      <c r="J93" s="17"/>
    </row>
    <row r="94" spans="1:10" x14ac:dyDescent="0.25">
      <c r="A94" s="38" t="s">
        <v>9</v>
      </c>
      <c r="B94" s="165" t="s">
        <v>102</v>
      </c>
      <c r="C94" s="165"/>
      <c r="D94" s="165"/>
      <c r="E94" s="165"/>
      <c r="F94" s="165"/>
      <c r="G94" s="165"/>
      <c r="H94" s="27" t="s">
        <v>99</v>
      </c>
      <c r="I94" s="39">
        <v>20</v>
      </c>
      <c r="J94" s="17"/>
    </row>
    <row r="95" spans="1:10" x14ac:dyDescent="0.25">
      <c r="A95" s="161" t="s">
        <v>103</v>
      </c>
      <c r="B95" s="161"/>
      <c r="C95" s="161"/>
      <c r="D95" s="161"/>
      <c r="E95" s="161"/>
      <c r="F95" s="161"/>
      <c r="G95" s="161"/>
      <c r="H95" s="20" t="s">
        <v>99</v>
      </c>
      <c r="I95" s="21">
        <f>TRUNC(SUM(I91:I94),2)</f>
        <v>384.55</v>
      </c>
      <c r="J95" s="17"/>
    </row>
    <row r="96" spans="1:10" x14ac:dyDescent="0.25">
      <c r="A96" s="167"/>
      <c r="B96" s="167"/>
      <c r="C96" s="167"/>
      <c r="D96" s="167"/>
      <c r="E96" s="167"/>
      <c r="F96" s="167"/>
      <c r="G96" s="167"/>
      <c r="H96" s="167"/>
      <c r="I96" s="167"/>
      <c r="J96" s="17"/>
    </row>
    <row r="97" spans="1:10" x14ac:dyDescent="0.25">
      <c r="A97" s="154" t="s">
        <v>104</v>
      </c>
      <c r="B97" s="154"/>
      <c r="C97" s="154"/>
      <c r="D97" s="154"/>
      <c r="E97" s="154"/>
      <c r="F97" s="154"/>
      <c r="G97" s="154"/>
      <c r="H97" s="154"/>
      <c r="I97" s="154"/>
      <c r="J97" s="17"/>
    </row>
    <row r="98" spans="1:10" x14ac:dyDescent="0.25">
      <c r="A98" s="9">
        <v>6</v>
      </c>
      <c r="B98" s="161" t="s">
        <v>105</v>
      </c>
      <c r="C98" s="161"/>
      <c r="D98" s="161"/>
      <c r="E98" s="161"/>
      <c r="F98" s="161"/>
      <c r="G98" s="161"/>
      <c r="H98" s="9" t="s">
        <v>26</v>
      </c>
      <c r="I98" s="9" t="s">
        <v>27</v>
      </c>
      <c r="J98" s="17"/>
    </row>
    <row r="99" spans="1:10" x14ac:dyDescent="0.25">
      <c r="A99" s="9" t="s">
        <v>3</v>
      </c>
      <c r="B99" s="156" t="s">
        <v>106</v>
      </c>
      <c r="C99" s="156"/>
      <c r="D99" s="156"/>
      <c r="E99" s="156"/>
      <c r="F99" s="156"/>
      <c r="G99" s="156"/>
      <c r="H99" s="40">
        <v>0.04</v>
      </c>
      <c r="I99" s="41">
        <f>TRUNC(H99*I123,2)</f>
        <v>113.33</v>
      </c>
      <c r="J99" s="17"/>
    </row>
    <row r="100" spans="1:10" x14ac:dyDescent="0.25">
      <c r="A100" s="9" t="s">
        <v>5</v>
      </c>
      <c r="B100" s="156" t="s">
        <v>107</v>
      </c>
      <c r="C100" s="156"/>
      <c r="D100" s="156"/>
      <c r="E100" s="156"/>
      <c r="F100" s="156"/>
      <c r="G100" s="156"/>
      <c r="H100" s="40">
        <v>4.027E-2</v>
      </c>
      <c r="I100" s="41">
        <f>TRUNC(H100*(I99+I123),2)</f>
        <v>118.66</v>
      </c>
      <c r="J100" s="17"/>
    </row>
    <row r="101" spans="1:10" x14ac:dyDescent="0.25">
      <c r="A101" s="9" t="s">
        <v>7</v>
      </c>
      <c r="B101" s="171" t="s">
        <v>108</v>
      </c>
      <c r="C101" s="171"/>
      <c r="D101" s="171"/>
      <c r="E101" s="171"/>
      <c r="F101" s="171"/>
      <c r="G101" s="171"/>
      <c r="H101" s="42"/>
      <c r="I101" s="43"/>
      <c r="J101" s="17"/>
    </row>
    <row r="102" spans="1:10" x14ac:dyDescent="0.25">
      <c r="A102" s="9" t="s">
        <v>109</v>
      </c>
      <c r="B102" s="156" t="s">
        <v>110</v>
      </c>
      <c r="C102" s="156"/>
      <c r="D102" s="156"/>
      <c r="E102" s="156"/>
      <c r="F102" s="156"/>
      <c r="G102" s="156"/>
      <c r="H102" s="44">
        <v>3.2000000000000002E-3</v>
      </c>
      <c r="I102" s="41">
        <f>TRUNC(H102*I112,2)</f>
        <v>10.5</v>
      </c>
      <c r="J102" s="17"/>
    </row>
    <row r="103" spans="1:10" x14ac:dyDescent="0.25">
      <c r="A103" s="9" t="s">
        <v>111</v>
      </c>
      <c r="B103" s="156" t="s">
        <v>112</v>
      </c>
      <c r="C103" s="156"/>
      <c r="D103" s="156"/>
      <c r="E103" s="156"/>
      <c r="F103" s="156"/>
      <c r="G103" s="156"/>
      <c r="H103" s="44">
        <v>2.07E-2</v>
      </c>
      <c r="I103" s="41">
        <f>TRUNC(H103*I112,2)</f>
        <v>67.95</v>
      </c>
      <c r="J103" s="17"/>
    </row>
    <row r="104" spans="1:10" x14ac:dyDescent="0.25">
      <c r="A104" s="9" t="s">
        <v>113</v>
      </c>
      <c r="B104" s="156" t="s">
        <v>114</v>
      </c>
      <c r="C104" s="156"/>
      <c r="D104" s="156"/>
      <c r="E104" s="156"/>
      <c r="F104" s="156"/>
      <c r="G104" s="156"/>
      <c r="H104" s="44">
        <v>4.2299999999999997E-2</v>
      </c>
      <c r="I104" s="41">
        <f>TRUNC(H104*I112,2)</f>
        <v>138.86000000000001</v>
      </c>
      <c r="J104" s="17"/>
    </row>
    <row r="105" spans="1:10" x14ac:dyDescent="0.25">
      <c r="A105" s="161" t="s">
        <v>115</v>
      </c>
      <c r="B105" s="161"/>
      <c r="C105" s="161"/>
      <c r="D105" s="161"/>
      <c r="E105" s="161"/>
      <c r="F105" s="161"/>
      <c r="G105" s="161"/>
      <c r="H105" s="44">
        <f>SUM(H99:H104)</f>
        <v>0.14646999999999999</v>
      </c>
      <c r="I105" s="21">
        <f>TRUNC(SUM(I99:I104),2)</f>
        <v>449.3</v>
      </c>
      <c r="J105" s="17"/>
    </row>
    <row r="106" spans="1:10" x14ac:dyDescent="0.25">
      <c r="A106" s="1"/>
      <c r="B106" s="172"/>
      <c r="C106" s="172"/>
      <c r="D106" s="172"/>
      <c r="E106" s="172"/>
      <c r="F106" s="172"/>
      <c r="G106" s="172"/>
      <c r="H106" s="172"/>
      <c r="I106" s="172"/>
    </row>
    <row r="107" spans="1:10" x14ac:dyDescent="0.25">
      <c r="A107" s="45" t="s">
        <v>116</v>
      </c>
      <c r="B107" s="173" t="s">
        <v>117</v>
      </c>
      <c r="C107" s="173"/>
      <c r="D107" s="173"/>
      <c r="E107" s="173"/>
      <c r="F107" s="173"/>
      <c r="G107" s="173"/>
      <c r="H107" s="46">
        <f>TRUNC(H102+H103+H104,4)</f>
        <v>6.6199999999999995E-2</v>
      </c>
      <c r="I107" s="47"/>
    </row>
    <row r="108" spans="1:10" x14ac:dyDescent="0.25">
      <c r="A108" s="48"/>
      <c r="B108" s="153">
        <v>100</v>
      </c>
      <c r="C108" s="153"/>
      <c r="D108" s="153"/>
      <c r="E108" s="153"/>
      <c r="F108" s="153"/>
      <c r="G108" s="153"/>
      <c r="H108" s="49"/>
      <c r="I108" s="50"/>
    </row>
    <row r="109" spans="1:10" x14ac:dyDescent="0.25">
      <c r="A109" s="51"/>
      <c r="B109" s="2"/>
      <c r="C109" s="2"/>
      <c r="D109" s="2"/>
      <c r="E109" s="2"/>
      <c r="F109" s="2"/>
      <c r="G109" s="2"/>
      <c r="H109" s="49"/>
      <c r="I109" s="50"/>
    </row>
    <row r="110" spans="1:10" x14ac:dyDescent="0.25">
      <c r="A110" s="48" t="s">
        <v>118</v>
      </c>
      <c r="B110" s="153" t="s">
        <v>119</v>
      </c>
      <c r="C110" s="153"/>
      <c r="D110" s="153"/>
      <c r="E110" s="153"/>
      <c r="F110" s="153"/>
      <c r="G110" s="153"/>
      <c r="H110" s="49"/>
      <c r="I110" s="50">
        <f>TRUNC(I123+I99+I100,2)</f>
        <v>3065.47</v>
      </c>
    </row>
    <row r="111" spans="1:10" x14ac:dyDescent="0.25">
      <c r="A111" s="48"/>
      <c r="B111" s="2"/>
      <c r="C111" s="2"/>
      <c r="D111" s="2"/>
      <c r="E111" s="2"/>
      <c r="F111" s="2"/>
      <c r="G111" s="2"/>
      <c r="H111" s="49"/>
      <c r="I111" s="50"/>
    </row>
    <row r="112" spans="1:10" x14ac:dyDescent="0.25">
      <c r="A112" s="48" t="s">
        <v>120</v>
      </c>
      <c r="B112" s="153" t="s">
        <v>121</v>
      </c>
      <c r="C112" s="153"/>
      <c r="D112" s="153"/>
      <c r="E112" s="153"/>
      <c r="F112" s="153"/>
      <c r="G112" s="153"/>
      <c r="H112" s="49"/>
      <c r="I112" s="50">
        <f>I110/(1-H107)</f>
        <v>3282.790747483401</v>
      </c>
    </row>
    <row r="113" spans="1:11" x14ac:dyDescent="0.25">
      <c r="A113" s="48"/>
      <c r="B113" s="2"/>
      <c r="C113" s="2"/>
      <c r="D113" s="2"/>
      <c r="E113" s="2"/>
      <c r="F113" s="2"/>
      <c r="G113" s="2"/>
      <c r="H113" s="49"/>
      <c r="I113" s="50"/>
    </row>
    <row r="114" spans="1:11" x14ac:dyDescent="0.25">
      <c r="A114" s="52"/>
      <c r="B114" s="174" t="s">
        <v>122</v>
      </c>
      <c r="C114" s="174"/>
      <c r="D114" s="174"/>
      <c r="E114" s="174"/>
      <c r="F114" s="174"/>
      <c r="G114" s="174"/>
      <c r="H114" s="53"/>
      <c r="I114" s="54">
        <f>TRUNC(I112-I110,2)</f>
        <v>217.32</v>
      </c>
      <c r="K114" s="55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56"/>
    </row>
    <row r="116" spans="1:11" x14ac:dyDescent="0.25">
      <c r="A116" s="154" t="s">
        <v>123</v>
      </c>
      <c r="B116" s="154"/>
      <c r="C116" s="154"/>
      <c r="D116" s="154"/>
      <c r="E116" s="154"/>
      <c r="F116" s="154"/>
      <c r="G116" s="154"/>
      <c r="H116" s="154"/>
      <c r="I116" s="154"/>
      <c r="K116" s="57"/>
    </row>
    <row r="117" spans="1:11" x14ac:dyDescent="0.25">
      <c r="A117" s="161" t="s">
        <v>124</v>
      </c>
      <c r="B117" s="161"/>
      <c r="C117" s="161"/>
      <c r="D117" s="161"/>
      <c r="E117" s="161"/>
      <c r="F117" s="161"/>
      <c r="G117" s="161"/>
      <c r="H117" s="161"/>
      <c r="I117" s="9" t="s">
        <v>27</v>
      </c>
    </row>
    <row r="118" spans="1:11" x14ac:dyDescent="0.25">
      <c r="A118" s="4" t="s">
        <v>3</v>
      </c>
      <c r="B118" s="155" t="str">
        <f>A21</f>
        <v>MÓDULO 1 - COMPOSIÇÃO DA REMUNERAÇÃO</v>
      </c>
      <c r="C118" s="155"/>
      <c r="D118" s="155"/>
      <c r="E118" s="155"/>
      <c r="F118" s="155"/>
      <c r="G118" s="155"/>
      <c r="H118" s="155"/>
      <c r="I118" s="41">
        <f>I25</f>
        <v>1304.5899999999999</v>
      </c>
    </row>
    <row r="119" spans="1:11" x14ac:dyDescent="0.25">
      <c r="A119" s="4" t="s">
        <v>5</v>
      </c>
      <c r="B119" s="155" t="str">
        <f>A27</f>
        <v>MÓDULO 2 – ENCARGOS E BENEFÍCIOS ANUAIS, MENSAIS E DIÁRIOS</v>
      </c>
      <c r="C119" s="155"/>
      <c r="D119" s="155"/>
      <c r="E119" s="155"/>
      <c r="F119" s="155"/>
      <c r="G119" s="155"/>
      <c r="H119" s="155"/>
      <c r="I119" s="41">
        <f>I57</f>
        <v>1009.52</v>
      </c>
    </row>
    <row r="120" spans="1:11" x14ac:dyDescent="0.25">
      <c r="A120" s="4" t="s">
        <v>7</v>
      </c>
      <c r="B120" s="155" t="str">
        <f>A59</f>
        <v>MÓDULO 3 – PROVISÃO PARA RESCISÃO</v>
      </c>
      <c r="C120" s="155"/>
      <c r="D120" s="155"/>
      <c r="E120" s="155"/>
      <c r="F120" s="155"/>
      <c r="G120" s="155"/>
      <c r="H120" s="155"/>
      <c r="I120" s="41">
        <f>I67</f>
        <v>6.84</v>
      </c>
      <c r="K120" s="57"/>
    </row>
    <row r="121" spans="1:11" x14ac:dyDescent="0.25">
      <c r="A121" s="6" t="s">
        <v>9</v>
      </c>
      <c r="B121" s="155" t="str">
        <f>A69</f>
        <v>MÓDULO 4 – CUSTO DE REPOSIÇÃO DO PROFISSIONAL AUSENTE</v>
      </c>
      <c r="C121" s="155"/>
      <c r="D121" s="155"/>
      <c r="E121" s="155"/>
      <c r="F121" s="155"/>
      <c r="G121" s="155"/>
      <c r="H121" s="155"/>
      <c r="I121" s="41">
        <f>I87</f>
        <v>127.98</v>
      </c>
      <c r="K121" s="57"/>
    </row>
    <row r="122" spans="1:11" x14ac:dyDescent="0.25">
      <c r="A122" s="6" t="s">
        <v>45</v>
      </c>
      <c r="B122" s="155" t="str">
        <f>A89</f>
        <v>MÓDULO 5 – INSUMOS DIVERSOS</v>
      </c>
      <c r="C122" s="155"/>
      <c r="D122" s="155"/>
      <c r="E122" s="155"/>
      <c r="F122" s="155"/>
      <c r="G122" s="155"/>
      <c r="H122" s="155"/>
      <c r="I122" s="41">
        <f>I95</f>
        <v>384.55</v>
      </c>
    </row>
    <row r="123" spans="1:11" x14ac:dyDescent="0.25">
      <c r="A123" s="9"/>
      <c r="B123" s="161" t="s">
        <v>125</v>
      </c>
      <c r="C123" s="161"/>
      <c r="D123" s="161"/>
      <c r="E123" s="161"/>
      <c r="F123" s="161"/>
      <c r="G123" s="161"/>
      <c r="H123" s="161"/>
      <c r="I123" s="21">
        <f>TRUNC(SUM(I118:I122),2)</f>
        <v>2833.48</v>
      </c>
      <c r="K123" s="55"/>
    </row>
    <row r="124" spans="1:11" x14ac:dyDescent="0.25">
      <c r="A124" s="6" t="s">
        <v>47</v>
      </c>
      <c r="B124" s="155" t="str">
        <f>A97</f>
        <v>MÓDULO 6 – CUSTOS INDIRETOS, TRIBUTOS E LUCRO</v>
      </c>
      <c r="C124" s="155"/>
      <c r="D124" s="155"/>
      <c r="E124" s="155"/>
      <c r="F124" s="155"/>
      <c r="G124" s="155"/>
      <c r="H124" s="155"/>
      <c r="I124" s="11">
        <f>I105</f>
        <v>449.3</v>
      </c>
    </row>
    <row r="125" spans="1:11" ht="23.25" customHeight="1" x14ac:dyDescent="0.25">
      <c r="A125" s="161" t="s">
        <v>126</v>
      </c>
      <c r="B125" s="161"/>
      <c r="C125" s="161"/>
      <c r="D125" s="161"/>
      <c r="E125" s="161"/>
      <c r="F125" s="161"/>
      <c r="G125" s="161"/>
      <c r="H125" s="161"/>
      <c r="I125" s="150">
        <f>TRUNC(SUM(I123:I124),2)</f>
        <v>3282.78</v>
      </c>
    </row>
    <row r="126" spans="1:11" ht="30" hidden="1" customHeight="1" x14ac:dyDescent="0.25">
      <c r="A126" s="1"/>
      <c r="B126" s="152" t="s">
        <v>127</v>
      </c>
      <c r="C126" s="152"/>
      <c r="D126" s="152"/>
      <c r="E126" s="152"/>
      <c r="F126" s="152"/>
      <c r="G126" s="152"/>
      <c r="H126" s="15"/>
      <c r="I126" s="15"/>
    </row>
    <row r="127" spans="1:11" ht="43.5" hidden="1" customHeight="1" x14ac:dyDescent="0.25">
      <c r="A127" s="181" t="s">
        <v>128</v>
      </c>
      <c r="B127" s="181"/>
      <c r="C127" s="181" t="s">
        <v>129</v>
      </c>
      <c r="D127" s="181"/>
      <c r="E127" s="181" t="s">
        <v>130</v>
      </c>
      <c r="F127" s="181"/>
      <c r="G127" s="59" t="s">
        <v>131</v>
      </c>
      <c r="H127" s="58" t="s">
        <v>132</v>
      </c>
      <c r="I127" s="60" t="s">
        <v>27</v>
      </c>
    </row>
    <row r="128" spans="1:11" ht="12.75" hidden="1" customHeight="1" x14ac:dyDescent="0.25">
      <c r="A128" s="182" t="s">
        <v>133</v>
      </c>
      <c r="B128" s="182"/>
      <c r="C128" s="183">
        <f>I125</f>
        <v>3282.78</v>
      </c>
      <c r="D128" s="183"/>
      <c r="E128" s="184">
        <v>2</v>
      </c>
      <c r="F128" s="184"/>
      <c r="G128" s="61">
        <f>C128</f>
        <v>3282.78</v>
      </c>
      <c r="H128" s="62">
        <v>2</v>
      </c>
      <c r="I128" s="63">
        <f>H128*G128</f>
        <v>6565.56</v>
      </c>
    </row>
    <row r="129" spans="1:9" ht="25.5" hidden="1" customHeight="1" x14ac:dyDescent="0.25">
      <c r="A129" s="175" t="s">
        <v>134</v>
      </c>
      <c r="B129" s="175"/>
      <c r="C129" s="175"/>
      <c r="D129" s="175"/>
      <c r="E129" s="175"/>
      <c r="F129" s="175"/>
      <c r="G129" s="175"/>
      <c r="H129" s="175"/>
      <c r="I129" s="64">
        <f>I128</f>
        <v>6565.56</v>
      </c>
    </row>
    <row r="130" spans="1:9" ht="28.5" hidden="1" customHeight="1" x14ac:dyDescent="0.25">
      <c r="A130" s="1" t="s">
        <v>135</v>
      </c>
      <c r="B130" s="152" t="s">
        <v>136</v>
      </c>
      <c r="C130" s="152"/>
      <c r="D130" s="152"/>
      <c r="E130" s="152"/>
      <c r="F130" s="152"/>
      <c r="G130" s="152"/>
      <c r="H130" s="15">
        <v>12</v>
      </c>
      <c r="I130" s="15">
        <f>H130*I129</f>
        <v>78786.720000000001</v>
      </c>
    </row>
    <row r="131" spans="1:9" ht="18.75" hidden="1" customHeight="1" x14ac:dyDescent="0.25">
      <c r="A131" s="176" t="s">
        <v>137</v>
      </c>
      <c r="B131" s="176"/>
      <c r="C131" s="176"/>
      <c r="D131" s="176"/>
      <c r="E131" s="176"/>
      <c r="F131" s="176"/>
      <c r="G131" s="176"/>
      <c r="H131" s="176"/>
      <c r="I131" s="176"/>
    </row>
    <row r="132" spans="1:9" ht="20.25" hidden="1" customHeight="1" x14ac:dyDescent="0.25">
      <c r="A132" s="65"/>
      <c r="B132" s="177" t="s">
        <v>138</v>
      </c>
      <c r="C132" s="177"/>
      <c r="D132" s="177"/>
      <c r="E132" s="177"/>
      <c r="F132" s="177"/>
      <c r="G132" s="177"/>
      <c r="H132" s="177"/>
      <c r="I132" s="60" t="s">
        <v>27</v>
      </c>
    </row>
    <row r="133" spans="1:9" ht="30.75" hidden="1" customHeight="1" x14ac:dyDescent="0.25">
      <c r="A133" s="66" t="s">
        <v>3</v>
      </c>
      <c r="B133" s="178" t="s">
        <v>139</v>
      </c>
      <c r="C133" s="178"/>
      <c r="D133" s="178"/>
      <c r="E133" s="178"/>
      <c r="F133" s="178"/>
      <c r="G133" s="178"/>
      <c r="H133" s="178"/>
      <c r="I133" s="67">
        <v>0</v>
      </c>
    </row>
    <row r="134" spans="1:9" ht="28.5" hidden="1" customHeight="1" x14ac:dyDescent="0.25">
      <c r="A134" s="68" t="s">
        <v>5</v>
      </c>
      <c r="B134" s="155" t="s">
        <v>140</v>
      </c>
      <c r="C134" s="155"/>
      <c r="D134" s="155"/>
      <c r="E134" s="155"/>
      <c r="F134" s="155"/>
      <c r="G134" s="155"/>
      <c r="H134" s="155"/>
      <c r="I134" s="69">
        <f>I129</f>
        <v>6565.56</v>
      </c>
    </row>
    <row r="135" spans="1:9" ht="23.25" hidden="1" customHeight="1" x14ac:dyDescent="0.25">
      <c r="A135" s="68" t="s">
        <v>7</v>
      </c>
      <c r="B135" s="179" t="s">
        <v>141</v>
      </c>
      <c r="C135" s="179"/>
      <c r="D135" s="179"/>
      <c r="E135" s="179"/>
      <c r="F135" s="179"/>
      <c r="G135" s="179"/>
      <c r="H135" s="179"/>
      <c r="I135" s="69">
        <f>I130</f>
        <v>78786.720000000001</v>
      </c>
    </row>
    <row r="136" spans="1:9" ht="29.25" hidden="1" customHeight="1" x14ac:dyDescent="0.25">
      <c r="A136" s="180" t="s">
        <v>142</v>
      </c>
      <c r="B136" s="180"/>
      <c r="C136" s="180"/>
      <c r="D136" s="180"/>
      <c r="E136" s="180"/>
      <c r="F136" s="180"/>
      <c r="G136" s="180"/>
      <c r="H136" s="180"/>
      <c r="I136" s="64">
        <f>SUM(I133:I135)</f>
        <v>85352.28</v>
      </c>
    </row>
    <row r="137" spans="1:9" ht="0.75" customHeight="1" x14ac:dyDescent="0.25">
      <c r="A137" s="1" t="s">
        <v>143</v>
      </c>
      <c r="B137" t="s">
        <v>144</v>
      </c>
    </row>
    <row r="138" spans="1:9" ht="19.5" customHeight="1" x14ac:dyDescent="0.25">
      <c r="A138" s="70" t="s">
        <v>145</v>
      </c>
      <c r="B138" s="70">
        <f>I125/I23</f>
        <v>3.0195923323153906</v>
      </c>
    </row>
  </sheetData>
  <mergeCells count="136">
    <mergeCell ref="A129:H129"/>
    <mergeCell ref="B130:G130"/>
    <mergeCell ref="A131:I131"/>
    <mergeCell ref="B132:H132"/>
    <mergeCell ref="B133:H133"/>
    <mergeCell ref="B134:H134"/>
    <mergeCell ref="B135:H135"/>
    <mergeCell ref="A136:H136"/>
    <mergeCell ref="B124:H124"/>
    <mergeCell ref="A125:H125"/>
    <mergeCell ref="B126:G126"/>
    <mergeCell ref="A127:B127"/>
    <mergeCell ref="C127:D127"/>
    <mergeCell ref="E127:F127"/>
    <mergeCell ref="A128:B128"/>
    <mergeCell ref="C128:D128"/>
    <mergeCell ref="E128:F128"/>
    <mergeCell ref="B114:G114"/>
    <mergeCell ref="A116:I116"/>
    <mergeCell ref="A117:H117"/>
    <mergeCell ref="B118:H118"/>
    <mergeCell ref="B119:H119"/>
    <mergeCell ref="B120:H120"/>
    <mergeCell ref="B121:H121"/>
    <mergeCell ref="B122:H122"/>
    <mergeCell ref="B123:H123"/>
    <mergeCell ref="B102:G102"/>
    <mergeCell ref="B103:G103"/>
    <mergeCell ref="B104:G104"/>
    <mergeCell ref="A105:G105"/>
    <mergeCell ref="B106:I106"/>
    <mergeCell ref="B107:G107"/>
    <mergeCell ref="B108:G108"/>
    <mergeCell ref="B110:G110"/>
    <mergeCell ref="B112:G112"/>
    <mergeCell ref="B93:G93"/>
    <mergeCell ref="B94:G94"/>
    <mergeCell ref="A95:G95"/>
    <mergeCell ref="A96:I96"/>
    <mergeCell ref="A97:I97"/>
    <mergeCell ref="B98:G98"/>
    <mergeCell ref="B99:G99"/>
    <mergeCell ref="B100:G100"/>
    <mergeCell ref="B101:G101"/>
    <mergeCell ref="A84:H84"/>
    <mergeCell ref="B85:H85"/>
    <mergeCell ref="B86:H86"/>
    <mergeCell ref="A87:H87"/>
    <mergeCell ref="A88:I88"/>
    <mergeCell ref="A89:I89"/>
    <mergeCell ref="B90:G90"/>
    <mergeCell ref="B91:G91"/>
    <mergeCell ref="B92:G92"/>
    <mergeCell ref="B75:G75"/>
    <mergeCell ref="B76:G76"/>
    <mergeCell ref="A77:G77"/>
    <mergeCell ref="A78:I78"/>
    <mergeCell ref="A79:G79"/>
    <mergeCell ref="B80:G80"/>
    <mergeCell ref="A81:G81"/>
    <mergeCell ref="A82:I82"/>
    <mergeCell ref="A83:I83"/>
    <mergeCell ref="B66:G66"/>
    <mergeCell ref="A67:G67"/>
    <mergeCell ref="A68:I68"/>
    <mergeCell ref="A69:I69"/>
    <mergeCell ref="A70:G70"/>
    <mergeCell ref="B71:G71"/>
    <mergeCell ref="B72:G72"/>
    <mergeCell ref="B73:G73"/>
    <mergeCell ref="B74:G74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48:G48"/>
    <mergeCell ref="B49:G49"/>
    <mergeCell ref="A50:H50"/>
    <mergeCell ref="A51:I51"/>
    <mergeCell ref="A52:I52"/>
    <mergeCell ref="A53:H53"/>
    <mergeCell ref="B54:H54"/>
    <mergeCell ref="B55:H55"/>
    <mergeCell ref="B56:H56"/>
    <mergeCell ref="B39:G39"/>
    <mergeCell ref="B40:G40"/>
    <mergeCell ref="B41:G41"/>
    <mergeCell ref="A42:G42"/>
    <mergeCell ref="A43:I43"/>
    <mergeCell ref="A44:G44"/>
    <mergeCell ref="B45:G45"/>
    <mergeCell ref="B46:G46"/>
    <mergeCell ref="B47:G47"/>
    <mergeCell ref="B30:G30"/>
    <mergeCell ref="A31:G31"/>
    <mergeCell ref="A32:I32"/>
    <mergeCell ref="A33:G33"/>
    <mergeCell ref="B34:G34"/>
    <mergeCell ref="B35:G35"/>
    <mergeCell ref="B36:G36"/>
    <mergeCell ref="B37:G37"/>
    <mergeCell ref="B38:G38"/>
    <mergeCell ref="A20:I20"/>
    <mergeCell ref="A21:I21"/>
    <mergeCell ref="B22:G22"/>
    <mergeCell ref="B23:G23"/>
    <mergeCell ref="B24:G24"/>
    <mergeCell ref="A25:H25"/>
    <mergeCell ref="A27:I27"/>
    <mergeCell ref="A28:G28"/>
    <mergeCell ref="B29:G29"/>
    <mergeCell ref="A12:B12"/>
    <mergeCell ref="C12:D12"/>
    <mergeCell ref="E12:I12"/>
    <mergeCell ref="A14:I14"/>
    <mergeCell ref="B15:H15"/>
    <mergeCell ref="B16:H16"/>
    <mergeCell ref="B17:H17"/>
    <mergeCell ref="B18:H18"/>
    <mergeCell ref="B19:H19"/>
    <mergeCell ref="A1:I1"/>
    <mergeCell ref="A2:I2"/>
    <mergeCell ref="A4:I4"/>
    <mergeCell ref="B5:H5"/>
    <mergeCell ref="B6:H6"/>
    <mergeCell ref="B7:H7"/>
    <mergeCell ref="B8:H8"/>
    <mergeCell ref="A10:I10"/>
    <mergeCell ref="A11:B11"/>
    <mergeCell ref="C11:D11"/>
    <mergeCell ref="E11:I11"/>
  </mergeCells>
  <pageMargins left="0.51180555555555496" right="0.51180555555555496" top="0.78749999999999998" bottom="0.78749999999999998" header="0.51180555555555496" footer="0.51180555555555496"/>
  <pageSetup paperSize="9" scale="93" firstPageNumber="0" orientation="portrait" r:id="rId1"/>
  <rowBreaks count="6" manualBreakCount="6">
    <brk id="39" max="16383" man="1"/>
    <brk id="93" max="16383" man="1"/>
    <brk id="131" max="16383" man="1"/>
    <brk id="186" max="16383" man="1"/>
    <brk id="250" max="16383" man="1"/>
    <brk id="2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2"/>
  <sheetViews>
    <sheetView view="pageBreakPreview" topLeftCell="A74" zoomScale="83" zoomScaleNormal="100" zoomScalePageLayoutView="83" workbookViewId="0">
      <selection activeCell="F84" sqref="F84:G84"/>
    </sheetView>
  </sheetViews>
  <sheetFormatPr defaultRowHeight="15" x14ac:dyDescent="0.25"/>
  <cols>
    <col min="1" max="1" width="5" style="71"/>
    <col min="2" max="2" width="10" style="72"/>
    <col min="3" max="3" width="13.28515625" style="72" customWidth="1"/>
    <col min="4" max="4" width="5.5703125" style="72"/>
    <col min="5" max="5" width="6" style="72"/>
    <col min="6" max="6" width="12" style="72" bestFit="1" customWidth="1"/>
    <col min="7" max="7" width="6.5703125" style="72"/>
    <col min="8" max="8" width="11.140625" style="72" customWidth="1"/>
    <col min="9" max="9" width="9.140625" style="72"/>
    <col min="10" max="10" width="18.42578125" style="72" customWidth="1"/>
    <col min="11" max="11" width="9.140625" style="72"/>
    <col min="12" max="12" width="11" style="72"/>
    <col min="13" max="261" width="9.140625" style="72"/>
    <col min="262" max="262" width="10.5703125" style="72"/>
    <col min="263" max="263" width="9.140625" style="72"/>
    <col min="264" max="264" width="11.5703125" style="72"/>
    <col min="265" max="517" width="9.140625" style="72"/>
    <col min="518" max="518" width="10.5703125" style="72"/>
    <col min="519" max="519" width="9.140625" style="72"/>
    <col min="520" max="520" width="11.5703125" style="72"/>
    <col min="521" max="773" width="9.140625" style="72"/>
    <col min="774" max="774" width="10.5703125" style="72"/>
    <col min="775" max="775" width="9.140625" style="72"/>
    <col min="776" max="776" width="11.5703125" style="72"/>
    <col min="777" max="1025" width="9.140625" style="72"/>
  </cols>
  <sheetData>
    <row r="1" spans="1:22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73"/>
      <c r="K1" s="73"/>
      <c r="L1" s="73"/>
      <c r="M1"/>
      <c r="N1"/>
      <c r="O1"/>
      <c r="P1" s="74"/>
      <c r="Q1" s="74"/>
      <c r="R1" s="74"/>
      <c r="S1" s="74"/>
      <c r="T1" s="74"/>
      <c r="U1" s="74"/>
      <c r="V1" s="74"/>
    </row>
    <row r="2" spans="1:22" ht="18.75" customHeight="1" x14ac:dyDescent="0.2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75"/>
      <c r="K2" s="75"/>
      <c r="L2" s="75"/>
      <c r="M2"/>
      <c r="N2"/>
      <c r="O2"/>
      <c r="P2" s="74"/>
      <c r="Q2" s="74"/>
      <c r="R2" s="74"/>
      <c r="S2" s="74"/>
      <c r="T2" s="74"/>
      <c r="U2" s="74"/>
      <c r="V2" s="74"/>
    </row>
    <row r="3" spans="1:22" ht="22.5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/>
      <c r="N3"/>
      <c r="O3"/>
      <c r="P3" s="74"/>
      <c r="Q3" s="74"/>
      <c r="R3" s="74"/>
      <c r="S3" s="74"/>
      <c r="T3" s="74"/>
      <c r="U3" s="74"/>
      <c r="V3" s="74"/>
    </row>
    <row r="4" spans="1:22" ht="16.5" customHeight="1" x14ac:dyDescent="0.25">
      <c r="A4" s="186" t="s">
        <v>146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N4" s="187"/>
      <c r="O4" s="187"/>
      <c r="P4" s="187"/>
      <c r="Q4" s="187"/>
      <c r="R4" s="187"/>
      <c r="S4" s="187"/>
      <c r="T4" s="187"/>
      <c r="U4" s="188"/>
      <c r="V4" s="188"/>
    </row>
    <row r="5" spans="1:22" ht="16.5" customHeight="1" x14ac:dyDescent="0.25">
      <c r="A5" s="189" t="s">
        <v>147</v>
      </c>
      <c r="B5" s="189"/>
      <c r="C5" s="189"/>
      <c r="D5" s="189"/>
      <c r="E5" s="189"/>
      <c r="F5" s="189"/>
      <c r="G5" s="189"/>
      <c r="H5" s="189"/>
      <c r="I5" s="190"/>
      <c r="J5" s="190"/>
      <c r="K5" s="191"/>
      <c r="L5" s="191"/>
      <c r="M5" s="192"/>
      <c r="N5" s="192"/>
      <c r="O5" s="193"/>
      <c r="P5" s="193"/>
      <c r="Q5" s="193"/>
      <c r="R5" s="193"/>
      <c r="S5" s="193"/>
      <c r="T5" s="193"/>
      <c r="U5" s="188"/>
      <c r="V5" s="188"/>
    </row>
    <row r="6" spans="1:22" ht="15.75" x14ac:dyDescent="0.25">
      <c r="A6" s="79"/>
      <c r="B6" s="80"/>
      <c r="C6" s="80"/>
      <c r="D6" s="194"/>
      <c r="E6" s="194"/>
      <c r="F6" s="80"/>
      <c r="G6" s="80"/>
      <c r="H6" s="80"/>
      <c r="I6" s="194"/>
      <c r="J6" s="194"/>
      <c r="K6" s="80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81"/>
    </row>
    <row r="7" spans="1:22" ht="15.75" customHeight="1" x14ac:dyDescent="0.25">
      <c r="A7" s="193" t="s">
        <v>148</v>
      </c>
      <c r="B7" s="193"/>
      <c r="C7" s="193"/>
      <c r="D7" s="193"/>
      <c r="E7" s="193"/>
      <c r="F7" s="80"/>
      <c r="G7" s="80"/>
      <c r="H7" s="80"/>
      <c r="I7" s="197"/>
      <c r="J7" s="197"/>
      <c r="K7" s="80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81"/>
    </row>
    <row r="8" spans="1:22" ht="15.75" customHeight="1" thickBot="1" x14ac:dyDescent="0.3">
      <c r="A8" s="198" t="s">
        <v>149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83"/>
      <c r="N8" s="193"/>
      <c r="O8" s="193"/>
      <c r="P8" s="193"/>
      <c r="Q8" s="193"/>
      <c r="R8" s="193"/>
      <c r="S8" s="193"/>
      <c r="T8" s="193"/>
      <c r="U8" s="193"/>
      <c r="V8" s="81"/>
    </row>
    <row r="9" spans="1:22" ht="42.75" customHeight="1" thickBot="1" x14ac:dyDescent="0.3">
      <c r="A9" s="195" t="s">
        <v>150</v>
      </c>
      <c r="B9" s="195"/>
      <c r="C9" s="195"/>
      <c r="D9" s="195" t="s">
        <v>151</v>
      </c>
      <c r="E9" s="195"/>
      <c r="F9" s="195"/>
      <c r="G9" s="196" t="s">
        <v>152</v>
      </c>
      <c r="H9" s="196"/>
      <c r="I9" s="195" t="s">
        <v>153</v>
      </c>
      <c r="J9" s="195"/>
      <c r="K9" s="195"/>
      <c r="L9" s="195"/>
      <c r="M9" s="83"/>
      <c r="N9" s="193"/>
      <c r="O9" s="193"/>
      <c r="P9" s="193"/>
      <c r="Q9" s="193"/>
      <c r="R9" s="193"/>
      <c r="S9" s="193"/>
      <c r="T9" s="193"/>
      <c r="U9" s="193"/>
      <c r="V9" s="81"/>
    </row>
    <row r="10" spans="1:22" ht="30" customHeight="1" thickBot="1" x14ac:dyDescent="0.3">
      <c r="A10" s="199" t="s">
        <v>155</v>
      </c>
      <c r="B10" s="199"/>
      <c r="C10" s="199"/>
      <c r="D10" s="200">
        <f>((229.12/300))/300</f>
        <v>2.5457777777777779E-3</v>
      </c>
      <c r="E10" s="200"/>
      <c r="F10" s="200"/>
      <c r="G10" s="201">
        <f>'SERVENTE 20%'!I125</f>
        <v>3282.78</v>
      </c>
      <c r="H10" s="201"/>
      <c r="I10" s="202">
        <f>G10*D10</f>
        <v>8.357228373333335</v>
      </c>
      <c r="J10" s="203"/>
      <c r="K10" s="203"/>
      <c r="L10" s="203"/>
      <c r="M10" s="204"/>
      <c r="N10" s="204"/>
      <c r="O10" s="193"/>
      <c r="P10" s="193"/>
      <c r="Q10" s="193"/>
      <c r="R10" s="193"/>
      <c r="S10" s="193"/>
      <c r="T10" s="193"/>
      <c r="U10" s="188"/>
      <c r="V10" s="188"/>
    </row>
    <row r="11" spans="1:22" ht="16.5" customHeight="1" thickBot="1" x14ac:dyDescent="0.3">
      <c r="A11" s="200" t="s">
        <v>142</v>
      </c>
      <c r="B11" s="200"/>
      <c r="C11" s="200"/>
      <c r="D11" s="200"/>
      <c r="E11" s="200"/>
      <c r="F11" s="200"/>
      <c r="G11" s="200"/>
      <c r="H11" s="200"/>
      <c r="I11" s="203">
        <f>I10</f>
        <v>8.357228373333335</v>
      </c>
      <c r="J11" s="203"/>
      <c r="K11" s="203"/>
      <c r="L11" s="203"/>
      <c r="M11" s="205"/>
      <c r="N11" s="205"/>
      <c r="O11" s="193"/>
      <c r="P11" s="193"/>
      <c r="Q11" s="193"/>
      <c r="R11" s="193"/>
      <c r="S11" s="193"/>
      <c r="T11" s="193"/>
      <c r="U11" s="188"/>
      <c r="V11" s="188"/>
    </row>
    <row r="12" spans="1:22" ht="16.5" thickBot="1" x14ac:dyDescent="0.3">
      <c r="A12" s="86"/>
      <c r="B12" s="87"/>
      <c r="C12" s="87"/>
      <c r="D12" s="88"/>
      <c r="E12" s="88"/>
      <c r="F12" s="87"/>
      <c r="G12" s="87"/>
      <c r="H12" s="87"/>
      <c r="I12" s="89"/>
      <c r="J12" s="90"/>
      <c r="K12" s="90"/>
      <c r="L12" s="91"/>
      <c r="M12" s="85"/>
      <c r="N12" s="92"/>
      <c r="O12" s="83"/>
      <c r="P12" s="83"/>
      <c r="Q12" s="83"/>
      <c r="R12" s="83"/>
      <c r="S12" s="83"/>
      <c r="T12" s="83"/>
      <c r="U12" s="81"/>
      <c r="V12" s="81"/>
    </row>
    <row r="13" spans="1:22" ht="42.75" customHeight="1" thickBot="1" x14ac:dyDescent="0.3">
      <c r="A13" s="195" t="s">
        <v>150</v>
      </c>
      <c r="B13" s="195"/>
      <c r="C13" s="195"/>
      <c r="D13" s="195" t="s">
        <v>151</v>
      </c>
      <c r="E13" s="195"/>
      <c r="F13" s="195"/>
      <c r="G13" s="196" t="s">
        <v>152</v>
      </c>
      <c r="H13" s="196"/>
      <c r="I13" s="195" t="s">
        <v>153</v>
      </c>
      <c r="J13" s="195"/>
      <c r="K13" s="195"/>
      <c r="L13" s="195"/>
      <c r="M13" s="83"/>
      <c r="N13" s="193"/>
      <c r="O13" s="193"/>
      <c r="P13" s="193"/>
      <c r="Q13" s="193"/>
      <c r="R13" s="193"/>
      <c r="S13" s="193"/>
      <c r="T13" s="193"/>
      <c r="U13" s="193"/>
      <c r="V13" s="81"/>
    </row>
    <row r="14" spans="1:22" ht="30" customHeight="1" thickBot="1" x14ac:dyDescent="0.3">
      <c r="A14" s="199" t="s">
        <v>157</v>
      </c>
      <c r="B14" s="199"/>
      <c r="C14" s="199"/>
      <c r="D14" s="206">
        <f>((127.3/450)/450)</f>
        <v>6.2864197530864189E-4</v>
      </c>
      <c r="E14" s="206"/>
      <c r="F14" s="206"/>
      <c r="G14" s="201">
        <f>G10</f>
        <v>3282.78</v>
      </c>
      <c r="H14" s="201"/>
      <c r="I14" s="203">
        <f>D14*G14</f>
        <v>2.0636933037037037</v>
      </c>
      <c r="J14" s="203"/>
      <c r="K14" s="203"/>
      <c r="L14" s="203"/>
      <c r="M14" s="204"/>
      <c r="N14" s="204"/>
      <c r="O14" s="193"/>
      <c r="P14" s="193"/>
      <c r="Q14" s="193"/>
      <c r="R14" s="193"/>
      <c r="S14" s="193"/>
      <c r="T14" s="193"/>
      <c r="U14" s="188"/>
      <c r="V14" s="188"/>
    </row>
    <row r="15" spans="1:22" ht="16.5" customHeight="1" thickBot="1" x14ac:dyDescent="0.3">
      <c r="A15" s="200" t="s">
        <v>142</v>
      </c>
      <c r="B15" s="200"/>
      <c r="C15" s="200"/>
      <c r="D15" s="200"/>
      <c r="E15" s="200"/>
      <c r="F15" s="200"/>
      <c r="G15" s="200"/>
      <c r="H15" s="200"/>
      <c r="I15" s="203">
        <f>I14</f>
        <v>2.0636933037037037</v>
      </c>
      <c r="J15" s="203"/>
      <c r="K15" s="203"/>
      <c r="L15" s="203"/>
      <c r="M15" s="205"/>
      <c r="N15" s="205"/>
      <c r="O15" s="193"/>
      <c r="P15" s="193"/>
      <c r="Q15" s="193"/>
      <c r="R15" s="193"/>
      <c r="S15" s="193"/>
      <c r="T15" s="193"/>
      <c r="U15" s="188"/>
      <c r="V15" s="188"/>
    </row>
    <row r="16" spans="1:22" ht="42.75" customHeight="1" thickBot="1" x14ac:dyDescent="0.3">
      <c r="A16" s="195" t="s">
        <v>150</v>
      </c>
      <c r="B16" s="195"/>
      <c r="C16" s="195"/>
      <c r="D16" s="195" t="s">
        <v>151</v>
      </c>
      <c r="E16" s="195"/>
      <c r="F16" s="195"/>
      <c r="G16" s="196" t="s">
        <v>152</v>
      </c>
      <c r="H16" s="196"/>
      <c r="I16" s="195" t="s">
        <v>153</v>
      </c>
      <c r="J16" s="195"/>
      <c r="K16" s="195"/>
      <c r="L16" s="195"/>
      <c r="M16" s="83"/>
      <c r="N16" s="193"/>
      <c r="O16" s="193"/>
      <c r="P16" s="193"/>
      <c r="Q16" s="193"/>
      <c r="R16" s="193"/>
      <c r="S16" s="193"/>
      <c r="T16" s="193"/>
      <c r="U16" s="193"/>
      <c r="V16" s="81"/>
    </row>
    <row r="17" spans="1:22" ht="16.5" customHeight="1" thickBot="1" x14ac:dyDescent="0.3">
      <c r="A17" s="207" t="s">
        <v>158</v>
      </c>
      <c r="B17" s="207"/>
      <c r="C17" s="207"/>
      <c r="D17" s="200">
        <f>(2853.41/1200)/1200</f>
        <v>1.9815347222222222E-3</v>
      </c>
      <c r="E17" s="200"/>
      <c r="F17" s="200"/>
      <c r="G17" s="208">
        <f>'SERVENTE 20%'!I125</f>
        <v>3282.78</v>
      </c>
      <c r="H17" s="208"/>
      <c r="I17" s="203">
        <f>D17*G17</f>
        <v>6.5049425554166671</v>
      </c>
      <c r="J17" s="203"/>
      <c r="K17" s="203"/>
      <c r="L17" s="203"/>
      <c r="M17" s="192"/>
      <c r="N17" s="192"/>
      <c r="O17" s="193"/>
      <c r="P17" s="193"/>
      <c r="Q17" s="193"/>
      <c r="R17" s="193"/>
      <c r="S17" s="193"/>
      <c r="T17" s="193"/>
      <c r="U17" s="188"/>
      <c r="V17" s="188"/>
    </row>
    <row r="18" spans="1:22" ht="16.5" customHeight="1" thickBot="1" x14ac:dyDescent="0.3">
      <c r="A18" s="200" t="s">
        <v>142</v>
      </c>
      <c r="B18" s="200"/>
      <c r="C18" s="200"/>
      <c r="D18" s="200"/>
      <c r="E18" s="200"/>
      <c r="F18" s="200"/>
      <c r="G18" s="200"/>
      <c r="H18" s="200"/>
      <c r="I18" s="209">
        <f>I17</f>
        <v>6.5049425554166671</v>
      </c>
      <c r="J18" s="209"/>
      <c r="K18" s="209"/>
      <c r="L18" s="209"/>
      <c r="M18" s="192"/>
      <c r="N18" s="192"/>
      <c r="O18" s="193"/>
      <c r="P18" s="193"/>
      <c r="Q18" s="193"/>
      <c r="R18" s="193"/>
      <c r="S18" s="193"/>
      <c r="T18" s="193"/>
      <c r="U18" s="188"/>
      <c r="V18" s="188"/>
    </row>
    <row r="19" spans="1:22" ht="0.75" customHeight="1" thickBot="1" x14ac:dyDescent="0.3">
      <c r="A19" s="93"/>
      <c r="B19" s="94"/>
      <c r="C19" s="94"/>
      <c r="D19" s="210"/>
      <c r="E19" s="210"/>
      <c r="F19" s="94"/>
      <c r="G19" s="94"/>
      <c r="H19" s="94"/>
      <c r="I19" s="210"/>
      <c r="J19" s="210"/>
      <c r="K19" s="211"/>
      <c r="L19" s="211"/>
      <c r="M19" s="192"/>
      <c r="N19" s="192"/>
      <c r="O19" s="193"/>
      <c r="P19" s="193"/>
      <c r="Q19" s="193"/>
      <c r="R19" s="193"/>
      <c r="S19" s="193"/>
      <c r="T19" s="193"/>
      <c r="U19" s="188"/>
      <c r="V19" s="188"/>
    </row>
    <row r="20" spans="1:22" ht="0.75" customHeight="1" thickBot="1" x14ac:dyDescent="0.3">
      <c r="A20" s="212" t="s">
        <v>159</v>
      </c>
      <c r="B20" s="212"/>
      <c r="C20" s="212"/>
      <c r="D20" s="200" t="s">
        <v>160</v>
      </c>
      <c r="E20" s="200"/>
      <c r="F20" s="200"/>
      <c r="G20" s="208" t="e">
        <f>#REF!</f>
        <v>#REF!</v>
      </c>
      <c r="H20" s="208"/>
      <c r="I20" s="203" t="e">
        <f>(1/(30*330))*G20</f>
        <v>#REF!</v>
      </c>
      <c r="J20" s="203"/>
      <c r="K20" s="203"/>
      <c r="L20" s="203"/>
      <c r="M20" s="192"/>
      <c r="N20" s="192"/>
      <c r="O20" s="193"/>
      <c r="P20" s="193"/>
      <c r="Q20" s="193"/>
      <c r="R20" s="193"/>
      <c r="S20" s="193"/>
      <c r="T20" s="193"/>
      <c r="U20" s="188"/>
      <c r="V20" s="188"/>
    </row>
    <row r="21" spans="1:22" ht="16.5" hidden="1" customHeight="1" thickBot="1" x14ac:dyDescent="0.3">
      <c r="A21" s="207" t="s">
        <v>161</v>
      </c>
      <c r="B21" s="207"/>
      <c r="C21" s="207"/>
      <c r="D21" s="200">
        <f>(1/127.12)</f>
        <v>7.866582756450597E-3</v>
      </c>
      <c r="E21" s="200"/>
      <c r="F21" s="200"/>
      <c r="G21" s="208">
        <f>G10</f>
        <v>3282.78</v>
      </c>
      <c r="H21" s="208"/>
      <c r="I21" s="203">
        <f>D21*G21</f>
        <v>25.824260541220891</v>
      </c>
      <c r="J21" s="203"/>
      <c r="K21" s="203"/>
      <c r="L21" s="203"/>
      <c r="M21" s="192"/>
      <c r="N21" s="192"/>
      <c r="O21" s="193"/>
      <c r="P21" s="193"/>
      <c r="Q21" s="193"/>
      <c r="R21" s="193"/>
      <c r="S21" s="193"/>
      <c r="T21" s="193"/>
      <c r="U21" s="188"/>
      <c r="V21" s="188"/>
    </row>
    <row r="22" spans="1:22" ht="16.5" hidden="1" customHeight="1" thickBot="1" x14ac:dyDescent="0.3">
      <c r="A22" s="213" t="s">
        <v>142</v>
      </c>
      <c r="B22" s="213"/>
      <c r="C22" s="213"/>
      <c r="D22" s="213"/>
      <c r="E22" s="213"/>
      <c r="F22" s="213"/>
      <c r="G22" s="213"/>
      <c r="H22" s="213"/>
      <c r="I22" s="203" t="e">
        <f>I20+I21</f>
        <v>#REF!</v>
      </c>
      <c r="J22" s="203"/>
      <c r="K22" s="203"/>
      <c r="L22" s="203"/>
      <c r="M22" s="192"/>
      <c r="N22" s="192"/>
      <c r="O22" s="193"/>
      <c r="P22" s="193"/>
      <c r="Q22" s="193"/>
      <c r="R22" s="193"/>
      <c r="S22" s="193"/>
      <c r="T22" s="193"/>
      <c r="U22" s="188"/>
      <c r="V22" s="188"/>
    </row>
    <row r="23" spans="1:22" ht="16.5" hidden="1" thickBot="1" x14ac:dyDescent="0.3">
      <c r="A23" s="93"/>
      <c r="B23" s="94"/>
      <c r="C23" s="94"/>
      <c r="D23" s="210"/>
      <c r="E23" s="210"/>
      <c r="F23" s="94"/>
      <c r="G23" s="94"/>
      <c r="H23" s="94"/>
      <c r="I23" s="210"/>
      <c r="J23" s="210"/>
      <c r="K23" s="211"/>
      <c r="L23" s="211"/>
      <c r="M23" s="192"/>
      <c r="N23" s="192"/>
      <c r="O23" s="193"/>
      <c r="P23" s="193"/>
      <c r="Q23" s="193"/>
      <c r="R23" s="193"/>
      <c r="S23" s="193"/>
      <c r="T23" s="193"/>
      <c r="U23" s="188"/>
      <c r="V23" s="188"/>
    </row>
    <row r="24" spans="1:22" ht="28.5" hidden="1" customHeight="1" thickBot="1" x14ac:dyDescent="0.3">
      <c r="A24" s="199" t="s">
        <v>162</v>
      </c>
      <c r="B24" s="199"/>
      <c r="C24" s="199"/>
      <c r="D24" s="214">
        <f>(1/25.03)</f>
        <v>3.9952057530962842E-2</v>
      </c>
      <c r="E24" s="214"/>
      <c r="F24" s="87"/>
      <c r="G24" s="208">
        <f>G21</f>
        <v>3282.78</v>
      </c>
      <c r="H24" s="208"/>
      <c r="I24" s="203">
        <f>D24*G24</f>
        <v>131.15381542149422</v>
      </c>
      <c r="J24" s="203"/>
      <c r="K24" s="203"/>
      <c r="L24" s="203"/>
      <c r="M24" s="192"/>
      <c r="N24" s="192"/>
      <c r="O24" s="193"/>
      <c r="P24" s="193"/>
      <c r="Q24" s="193"/>
      <c r="R24" s="193"/>
      <c r="S24" s="193"/>
      <c r="T24" s="193"/>
      <c r="U24" s="188"/>
      <c r="V24" s="188"/>
    </row>
    <row r="25" spans="1:22" ht="16.5" hidden="1" customHeight="1" thickBot="1" x14ac:dyDescent="0.3">
      <c r="A25" s="200" t="s">
        <v>142</v>
      </c>
      <c r="B25" s="200"/>
      <c r="C25" s="200"/>
      <c r="D25" s="200"/>
      <c r="E25" s="200"/>
      <c r="F25" s="200"/>
      <c r="G25" s="200"/>
      <c r="H25" s="200"/>
      <c r="I25" s="203">
        <f>I24</f>
        <v>131.15381542149422</v>
      </c>
      <c r="J25" s="203"/>
      <c r="K25" s="203"/>
      <c r="L25" s="203"/>
      <c r="M25" s="192"/>
      <c r="N25" s="192"/>
      <c r="O25" s="193"/>
      <c r="P25" s="193"/>
      <c r="Q25" s="193"/>
      <c r="R25" s="193"/>
      <c r="S25" s="193"/>
      <c r="T25" s="193"/>
      <c r="U25" s="188"/>
      <c r="V25" s="188"/>
    </row>
    <row r="26" spans="1:22" ht="16.5" thickBot="1" x14ac:dyDescent="0.3">
      <c r="A26" s="93"/>
      <c r="B26" s="94"/>
      <c r="C26" s="94"/>
      <c r="D26" s="210"/>
      <c r="E26" s="210"/>
      <c r="F26" s="94"/>
      <c r="G26" s="94"/>
      <c r="H26" s="94"/>
      <c r="I26" s="210"/>
      <c r="J26" s="210"/>
      <c r="K26" s="211"/>
      <c r="L26" s="211"/>
      <c r="M26" s="192"/>
      <c r="N26" s="192"/>
      <c r="O26" s="193"/>
      <c r="P26" s="193"/>
      <c r="Q26" s="193"/>
      <c r="R26" s="193"/>
      <c r="S26" s="193"/>
      <c r="T26" s="193"/>
      <c r="U26" s="188"/>
      <c r="V26" s="188"/>
    </row>
    <row r="27" spans="1:22" ht="16.5" hidden="1" customHeight="1" thickBot="1" x14ac:dyDescent="0.3">
      <c r="A27" s="207" t="s">
        <v>164</v>
      </c>
      <c r="B27" s="207"/>
      <c r="C27" s="207"/>
      <c r="D27" s="200" t="s">
        <v>165</v>
      </c>
      <c r="E27" s="200"/>
      <c r="F27" s="200"/>
      <c r="G27" s="208">
        <f>G24</f>
        <v>3282.78</v>
      </c>
      <c r="H27" s="208"/>
      <c r="I27" s="203">
        <f>(1/1200)*G27</f>
        <v>2.7356500000000001</v>
      </c>
      <c r="J27" s="203"/>
      <c r="K27" s="203"/>
      <c r="L27" s="203"/>
      <c r="M27" s="192"/>
      <c r="N27" s="192"/>
      <c r="O27" s="193"/>
      <c r="P27" s="193"/>
      <c r="Q27" s="193"/>
      <c r="R27" s="193"/>
      <c r="S27" s="193"/>
      <c r="T27" s="193"/>
      <c r="U27" s="188"/>
      <c r="V27" s="188"/>
    </row>
    <row r="28" spans="1:22" ht="16.5" hidden="1" customHeight="1" thickBot="1" x14ac:dyDescent="0.3">
      <c r="A28" s="200" t="s">
        <v>142</v>
      </c>
      <c r="B28" s="200"/>
      <c r="C28" s="200"/>
      <c r="D28" s="200"/>
      <c r="E28" s="200"/>
      <c r="F28" s="200"/>
      <c r="G28" s="200"/>
      <c r="H28" s="200"/>
      <c r="I28" s="203">
        <f>I27</f>
        <v>2.7356500000000001</v>
      </c>
      <c r="J28" s="203"/>
      <c r="K28" s="203"/>
      <c r="L28" s="203"/>
      <c r="M28" s="192"/>
      <c r="N28" s="192"/>
      <c r="O28" s="193"/>
      <c r="P28" s="193"/>
      <c r="Q28" s="193"/>
      <c r="R28" s="193"/>
      <c r="S28" s="193"/>
      <c r="T28" s="193"/>
      <c r="U28" s="188"/>
      <c r="V28" s="188"/>
    </row>
    <row r="29" spans="1:22" ht="42.75" customHeight="1" thickBot="1" x14ac:dyDescent="0.3">
      <c r="A29" s="195" t="s">
        <v>150</v>
      </c>
      <c r="B29" s="195"/>
      <c r="C29" s="195"/>
      <c r="D29" s="195" t="s">
        <v>151</v>
      </c>
      <c r="E29" s="195"/>
      <c r="F29" s="195"/>
      <c r="G29" s="196" t="s">
        <v>152</v>
      </c>
      <c r="H29" s="196"/>
      <c r="I29" s="195" t="s">
        <v>153</v>
      </c>
      <c r="J29" s="195"/>
      <c r="K29" s="195"/>
      <c r="L29" s="195"/>
      <c r="M29" s="83"/>
      <c r="N29" s="193"/>
      <c r="O29" s="193"/>
      <c r="P29" s="193"/>
      <c r="Q29" s="193"/>
      <c r="R29" s="193"/>
      <c r="S29" s="193"/>
      <c r="T29" s="193"/>
      <c r="U29" s="193"/>
      <c r="V29" s="81"/>
    </row>
    <row r="30" spans="1:22" ht="25.5" customHeight="1" thickBot="1" x14ac:dyDescent="0.3">
      <c r="A30" s="199" t="s">
        <v>166</v>
      </c>
      <c r="B30" s="199"/>
      <c r="C30" s="199"/>
      <c r="D30" s="200">
        <f>(869.16/1500)/1500</f>
        <v>3.8629333333333333E-4</v>
      </c>
      <c r="E30" s="200"/>
      <c r="F30" s="200"/>
      <c r="G30" s="208">
        <f>'SERVENTE 20%'!$I$125</f>
        <v>3282.78</v>
      </c>
      <c r="H30" s="208"/>
      <c r="I30" s="202">
        <f>D30*G30</f>
        <v>1.2681160288</v>
      </c>
      <c r="J30" s="203"/>
      <c r="K30" s="203"/>
      <c r="L30" s="203"/>
      <c r="M30" s="192"/>
      <c r="N30" s="192"/>
      <c r="O30" s="193"/>
      <c r="P30" s="193"/>
      <c r="Q30" s="193"/>
      <c r="R30" s="193"/>
      <c r="S30" s="193"/>
      <c r="T30" s="193"/>
      <c r="U30" s="188"/>
      <c r="V30" s="188"/>
    </row>
    <row r="31" spans="1:22" ht="27" customHeight="1" thickBot="1" x14ac:dyDescent="0.3">
      <c r="A31" s="199" t="s">
        <v>167</v>
      </c>
      <c r="B31" s="199"/>
      <c r="C31" s="199"/>
      <c r="D31" s="200">
        <f>(25.03/2500)/2500</f>
        <v>4.0048000000000002E-6</v>
      </c>
      <c r="E31" s="200"/>
      <c r="F31" s="200"/>
      <c r="G31" s="208">
        <f>'SERVENTE 20%'!I125</f>
        <v>3282.78</v>
      </c>
      <c r="H31" s="208"/>
      <c r="I31" s="203">
        <f>D31*G31</f>
        <v>1.3146877344000002E-2</v>
      </c>
      <c r="J31" s="203"/>
      <c r="K31" s="203"/>
      <c r="L31" s="203"/>
      <c r="M31" s="192"/>
      <c r="N31" s="192"/>
      <c r="O31" s="193"/>
      <c r="P31" s="193"/>
      <c r="Q31" s="193"/>
      <c r="R31" s="193"/>
      <c r="S31" s="193"/>
      <c r="T31" s="193"/>
      <c r="U31" s="188"/>
      <c r="V31" s="188"/>
    </row>
    <row r="32" spans="1:22" ht="16.5" customHeight="1" thickBot="1" x14ac:dyDescent="0.3">
      <c r="A32" s="200" t="s">
        <v>142</v>
      </c>
      <c r="B32" s="200"/>
      <c r="C32" s="200"/>
      <c r="D32" s="200"/>
      <c r="E32" s="200"/>
      <c r="F32" s="200"/>
      <c r="G32" s="200"/>
      <c r="H32" s="200"/>
      <c r="I32" s="203">
        <f>I30+I31</f>
        <v>1.281262906144</v>
      </c>
      <c r="J32" s="203"/>
      <c r="K32" s="203"/>
      <c r="L32" s="203"/>
      <c r="M32" s="192"/>
      <c r="N32" s="192"/>
      <c r="O32" s="193"/>
      <c r="P32" s="193"/>
      <c r="Q32" s="193"/>
      <c r="R32" s="193"/>
      <c r="S32" s="193"/>
      <c r="T32" s="193"/>
      <c r="U32" s="188"/>
      <c r="V32" s="188"/>
    </row>
    <row r="33" spans="1:22" ht="16.5" thickBot="1" x14ac:dyDescent="0.3">
      <c r="A33" s="93"/>
      <c r="B33" s="96"/>
      <c r="C33" s="96"/>
      <c r="D33" s="215"/>
      <c r="E33" s="215"/>
      <c r="F33" s="96"/>
      <c r="G33" s="96"/>
      <c r="H33" s="96"/>
      <c r="I33" s="215"/>
      <c r="J33" s="215"/>
      <c r="K33" s="216"/>
      <c r="L33" s="216"/>
      <c r="M33" s="192"/>
      <c r="N33" s="192"/>
      <c r="O33" s="193"/>
      <c r="P33" s="193"/>
      <c r="Q33" s="193"/>
      <c r="R33" s="193"/>
      <c r="S33" s="193"/>
      <c r="T33" s="193"/>
      <c r="U33" s="188"/>
      <c r="V33" s="188"/>
    </row>
    <row r="34" spans="1:22" ht="15.75" customHeight="1" thickBot="1" x14ac:dyDescent="0.3">
      <c r="A34" s="198" t="s">
        <v>168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83"/>
      <c r="N34" s="193"/>
      <c r="O34" s="193"/>
      <c r="P34" s="193"/>
      <c r="Q34" s="193"/>
      <c r="R34" s="193"/>
      <c r="S34" s="193"/>
      <c r="T34" s="193"/>
      <c r="U34" s="193"/>
      <c r="V34" s="81"/>
    </row>
    <row r="35" spans="1:22" ht="52.5" customHeight="1" thickBot="1" x14ac:dyDescent="0.3">
      <c r="A35" s="195" t="s">
        <v>150</v>
      </c>
      <c r="B35" s="195"/>
      <c r="C35" s="195"/>
      <c r="D35" s="195" t="s">
        <v>151</v>
      </c>
      <c r="E35" s="195"/>
      <c r="F35" s="195"/>
      <c r="G35" s="196" t="s">
        <v>152</v>
      </c>
      <c r="H35" s="196"/>
      <c r="I35" s="195" t="s">
        <v>153</v>
      </c>
      <c r="J35" s="195"/>
      <c r="K35" s="195"/>
      <c r="L35" s="195"/>
      <c r="M35" s="83"/>
      <c r="N35" s="193"/>
      <c r="O35" s="193"/>
      <c r="P35" s="193"/>
      <c r="Q35" s="193"/>
      <c r="R35" s="193"/>
      <c r="S35" s="193"/>
      <c r="T35" s="193"/>
      <c r="U35" s="193"/>
      <c r="V35" s="81"/>
    </row>
    <row r="36" spans="1:22" ht="0.75" customHeight="1" thickBot="1" x14ac:dyDescent="0.3">
      <c r="A36" s="199" t="s">
        <v>169</v>
      </c>
      <c r="B36" s="199"/>
      <c r="C36" s="199"/>
      <c r="D36" s="200" t="s">
        <v>163</v>
      </c>
      <c r="E36" s="200"/>
      <c r="F36" s="200"/>
      <c r="G36" s="208">
        <f>G30</f>
        <v>3282.78</v>
      </c>
      <c r="H36" s="208"/>
      <c r="I36" s="203">
        <f>(1/(30*1200))*G36</f>
        <v>9.1188333333333343E-2</v>
      </c>
      <c r="J36" s="203"/>
      <c r="K36" s="203"/>
      <c r="L36" s="203"/>
      <c r="M36" s="192"/>
      <c r="N36" s="192"/>
      <c r="O36" s="193"/>
      <c r="P36" s="193"/>
      <c r="Q36" s="193"/>
      <c r="R36" s="193"/>
      <c r="S36" s="193"/>
      <c r="T36" s="193"/>
      <c r="U36" s="188"/>
      <c r="V36" s="188"/>
    </row>
    <row r="37" spans="1:22" ht="36" customHeight="1" thickBot="1" x14ac:dyDescent="0.3">
      <c r="A37" s="199" t="s">
        <v>170</v>
      </c>
      <c r="B37" s="199"/>
      <c r="C37" s="199"/>
      <c r="D37" s="200">
        <f>1/1283</f>
        <v>7.7942322681215901E-4</v>
      </c>
      <c r="E37" s="200"/>
      <c r="F37" s="200"/>
      <c r="G37" s="208">
        <f>G31</f>
        <v>3282.78</v>
      </c>
      <c r="H37" s="208"/>
      <c r="I37" s="203">
        <f>D37*G37</f>
        <v>2.5586749805144193</v>
      </c>
      <c r="J37" s="203"/>
      <c r="K37" s="203"/>
      <c r="L37" s="203"/>
      <c r="M37" s="192"/>
      <c r="N37" s="192"/>
      <c r="O37" s="193"/>
      <c r="P37" s="193"/>
      <c r="Q37" s="193"/>
      <c r="R37" s="193"/>
      <c r="S37" s="193"/>
      <c r="T37" s="193"/>
      <c r="U37" s="188"/>
      <c r="V37" s="188"/>
    </row>
    <row r="38" spans="1:22" ht="16.5" customHeight="1" thickBot="1" x14ac:dyDescent="0.3">
      <c r="A38" s="200" t="s">
        <v>142</v>
      </c>
      <c r="B38" s="200"/>
      <c r="C38" s="200"/>
      <c r="D38" s="200"/>
      <c r="E38" s="200"/>
      <c r="F38" s="200"/>
      <c r="G38" s="200"/>
      <c r="H38" s="200"/>
      <c r="I38" s="217">
        <f>I36+I37</f>
        <v>2.6498633138477525</v>
      </c>
      <c r="J38" s="217"/>
      <c r="K38" s="217"/>
      <c r="L38" s="217"/>
      <c r="M38" s="192"/>
      <c r="N38" s="192"/>
      <c r="O38" s="193"/>
      <c r="P38" s="193"/>
      <c r="Q38" s="193"/>
      <c r="R38" s="193"/>
      <c r="S38" s="193"/>
      <c r="T38" s="193"/>
      <c r="U38" s="188"/>
      <c r="V38" s="188"/>
    </row>
    <row r="39" spans="1:22" ht="16.5" thickBot="1" x14ac:dyDescent="0.3">
      <c r="A39" s="93"/>
      <c r="B39" s="96"/>
      <c r="C39" s="96"/>
      <c r="D39" s="215"/>
      <c r="E39" s="215"/>
      <c r="F39" s="96"/>
      <c r="G39" s="96"/>
      <c r="H39" s="96"/>
      <c r="I39" s="215"/>
      <c r="J39" s="215"/>
      <c r="K39" s="216"/>
      <c r="L39" s="216"/>
      <c r="M39" s="192"/>
      <c r="N39" s="192"/>
      <c r="O39" s="193"/>
      <c r="P39" s="193"/>
      <c r="Q39" s="193"/>
      <c r="R39" s="193"/>
      <c r="S39" s="193"/>
      <c r="T39" s="193"/>
      <c r="U39" s="188"/>
      <c r="V39" s="188"/>
    </row>
    <row r="40" spans="1:22" ht="32.25" customHeight="1" thickBot="1" x14ac:dyDescent="0.3">
      <c r="A40" s="218" t="s">
        <v>240</v>
      </c>
      <c r="B40" s="218"/>
      <c r="C40" s="218"/>
      <c r="D40" s="200">
        <f>(2/1934)</f>
        <v>1.0341261633919339E-3</v>
      </c>
      <c r="E40" s="200"/>
      <c r="F40" s="200"/>
      <c r="G40" s="208">
        <f>'SERVENTE 20%'!$I$125</f>
        <v>3282.78</v>
      </c>
      <c r="H40" s="208"/>
      <c r="I40" s="203">
        <f>D40*G40</f>
        <v>3.3948086866597729</v>
      </c>
      <c r="J40" s="203"/>
      <c r="K40" s="203"/>
      <c r="L40" s="203"/>
      <c r="M40" s="192"/>
      <c r="N40" s="192"/>
      <c r="O40" s="193"/>
      <c r="P40" s="193"/>
      <c r="Q40" s="193"/>
      <c r="R40" s="193"/>
      <c r="S40" s="193"/>
      <c r="T40" s="193"/>
      <c r="U40" s="188"/>
      <c r="V40" s="188"/>
    </row>
    <row r="41" spans="1:22" ht="37.5" customHeight="1" thickBot="1" x14ac:dyDescent="0.3">
      <c r="A41" s="218" t="s">
        <v>241</v>
      </c>
      <c r="B41" s="218"/>
      <c r="C41" s="218"/>
      <c r="D41" s="219">
        <f>(1/ 4970.8)</f>
        <v>2.0117486118934578E-4</v>
      </c>
      <c r="E41" s="219"/>
      <c r="F41" s="219"/>
      <c r="G41" s="208">
        <f>'SERVENTE 20%'!I125</f>
        <v>3282.78</v>
      </c>
      <c r="H41" s="208"/>
      <c r="I41" s="203">
        <f>G41*D41</f>
        <v>0.66041281081516057</v>
      </c>
      <c r="J41" s="203"/>
      <c r="K41" s="203"/>
      <c r="L41" s="203"/>
      <c r="M41" s="204"/>
      <c r="N41" s="204"/>
      <c r="O41" s="193"/>
      <c r="P41" s="193"/>
      <c r="Q41" s="193"/>
      <c r="R41" s="193"/>
      <c r="S41" s="193"/>
      <c r="T41" s="193"/>
      <c r="U41" s="188"/>
      <c r="V41" s="188"/>
    </row>
    <row r="42" spans="1:22" ht="32.25" customHeight="1" thickBot="1" x14ac:dyDescent="0.3">
      <c r="A42" s="200" t="s">
        <v>142</v>
      </c>
      <c r="B42" s="200"/>
      <c r="C42" s="200"/>
      <c r="D42" s="200"/>
      <c r="E42" s="200"/>
      <c r="F42" s="200"/>
      <c r="G42" s="200"/>
      <c r="H42" s="200"/>
      <c r="I42" s="220"/>
      <c r="J42" s="203"/>
      <c r="K42" s="203"/>
      <c r="L42" s="203"/>
      <c r="M42" s="204"/>
      <c r="N42" s="204"/>
      <c r="O42" s="193"/>
      <c r="P42" s="193"/>
      <c r="Q42" s="193"/>
      <c r="R42" s="193"/>
      <c r="S42" s="193"/>
      <c r="T42" s="193"/>
      <c r="U42" s="188"/>
      <c r="V42" s="188"/>
    </row>
    <row r="43" spans="1:22" ht="18.75" customHeight="1" x14ac:dyDescent="0.25">
      <c r="A43" s="221" t="s">
        <v>171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83"/>
      <c r="N43" s="193"/>
      <c r="O43" s="193"/>
      <c r="P43" s="193"/>
      <c r="Q43" s="193"/>
      <c r="R43" s="193"/>
      <c r="S43" s="193"/>
      <c r="T43" s="193"/>
      <c r="U43" s="193"/>
      <c r="V43" s="81"/>
    </row>
    <row r="44" spans="1:22" ht="16.5" thickBot="1" x14ac:dyDescent="0.3">
      <c r="A44" s="94"/>
      <c r="B44" s="96"/>
      <c r="C44" s="96"/>
      <c r="D44" s="222"/>
      <c r="E44" s="222"/>
      <c r="F44" s="82"/>
      <c r="G44" s="96"/>
      <c r="H44" s="96"/>
      <c r="I44" s="222"/>
      <c r="J44" s="222"/>
      <c r="K44" s="82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81"/>
    </row>
    <row r="45" spans="1:22" ht="90.75" customHeight="1" thickBot="1" x14ac:dyDescent="0.3">
      <c r="A45" s="195" t="s">
        <v>172</v>
      </c>
      <c r="B45" s="195"/>
      <c r="C45" s="195" t="s">
        <v>173</v>
      </c>
      <c r="D45" s="195"/>
      <c r="E45" s="97" t="s">
        <v>174</v>
      </c>
      <c r="F45" s="84" t="s">
        <v>175</v>
      </c>
      <c r="G45" s="224" t="s">
        <v>176</v>
      </c>
      <c r="H45" s="224"/>
      <c r="I45" s="196" t="s">
        <v>177</v>
      </c>
      <c r="J45" s="196"/>
      <c r="K45" s="195" t="s">
        <v>153</v>
      </c>
      <c r="L45" s="195"/>
      <c r="M45" s="193"/>
      <c r="N45" s="193"/>
      <c r="O45" s="193"/>
      <c r="P45" s="193"/>
      <c r="Q45" s="193"/>
      <c r="R45" s="193"/>
      <c r="S45" s="193"/>
      <c r="T45" s="193"/>
      <c r="U45" s="188"/>
      <c r="V45" s="188"/>
    </row>
    <row r="46" spans="1:22" ht="16.5" hidden="1" customHeight="1" thickBot="1" x14ac:dyDescent="0.3">
      <c r="A46" s="218" t="s">
        <v>178</v>
      </c>
      <c r="B46" s="218"/>
      <c r="C46" s="200" t="s">
        <v>154</v>
      </c>
      <c r="D46" s="200"/>
      <c r="E46" s="95">
        <v>16</v>
      </c>
      <c r="F46" s="86" t="s">
        <v>179</v>
      </c>
      <c r="G46" s="228">
        <v>1.1999999999999999E-6</v>
      </c>
      <c r="H46" s="228"/>
      <c r="I46" s="208" t="e">
        <f>#REF!</f>
        <v>#REF!</v>
      </c>
      <c r="J46" s="208"/>
      <c r="K46" s="229" t="e">
        <f>I46*G46</f>
        <v>#REF!</v>
      </c>
      <c r="L46" s="229"/>
      <c r="M46" s="192"/>
      <c r="N46" s="192"/>
      <c r="O46" s="193"/>
      <c r="P46" s="193"/>
      <c r="Q46" s="193"/>
      <c r="R46" s="193"/>
      <c r="S46" s="193"/>
      <c r="T46" s="193"/>
      <c r="U46" s="188"/>
      <c r="V46" s="188"/>
    </row>
    <row r="47" spans="1:22" ht="16.5" hidden="1" customHeight="1" thickBot="1" x14ac:dyDescent="0.3">
      <c r="A47" s="225" t="s">
        <v>180</v>
      </c>
      <c r="B47" s="225"/>
      <c r="C47" s="226"/>
      <c r="D47" s="226"/>
      <c r="E47" s="98">
        <v>16</v>
      </c>
      <c r="F47" s="99" t="s">
        <v>239</v>
      </c>
      <c r="G47" s="227">
        <v>2.6253250000000001E-4</v>
      </c>
      <c r="H47" s="227"/>
      <c r="I47" s="208">
        <v>0</v>
      </c>
      <c r="J47" s="208"/>
      <c r="K47" s="203">
        <f>I47*G47</f>
        <v>0</v>
      </c>
      <c r="L47" s="203"/>
      <c r="M47" s="204"/>
      <c r="N47" s="204"/>
      <c r="O47" s="193"/>
      <c r="P47" s="193"/>
      <c r="Q47" s="193"/>
      <c r="R47" s="193"/>
      <c r="S47" s="193"/>
      <c r="T47" s="193"/>
      <c r="U47" s="188"/>
      <c r="V47" s="188"/>
    </row>
    <row r="48" spans="1:22" ht="27" hidden="1" customHeight="1" thickBot="1" x14ac:dyDescent="0.3">
      <c r="A48" s="200" t="s">
        <v>142</v>
      </c>
      <c r="B48" s="200"/>
      <c r="C48" s="200"/>
      <c r="D48" s="200"/>
      <c r="E48" s="200"/>
      <c r="F48" s="200"/>
      <c r="G48" s="200"/>
      <c r="H48" s="200"/>
      <c r="I48" s="216"/>
      <c r="J48" s="216"/>
      <c r="K48" s="203" t="e">
        <f>K46+K47</f>
        <v>#REF!</v>
      </c>
      <c r="L48" s="203"/>
      <c r="M48" s="205"/>
      <c r="N48" s="205"/>
      <c r="O48" s="193"/>
      <c r="P48" s="193"/>
      <c r="Q48" s="193"/>
      <c r="R48" s="193"/>
      <c r="S48" s="193"/>
      <c r="T48" s="193"/>
      <c r="U48" s="188"/>
      <c r="V48" s="188"/>
    </row>
    <row r="49" spans="1:22" ht="27" hidden="1" customHeight="1" thickBot="1" x14ac:dyDescent="0.3">
      <c r="A49" s="93"/>
      <c r="B49" s="96"/>
      <c r="C49" s="94"/>
      <c r="D49" s="230"/>
      <c r="E49" s="230"/>
      <c r="F49" s="94"/>
      <c r="G49" s="96"/>
      <c r="H49" s="96"/>
      <c r="I49" s="215"/>
      <c r="J49" s="215"/>
      <c r="K49" s="216"/>
      <c r="L49" s="216"/>
      <c r="M49" s="192"/>
      <c r="N49" s="192"/>
      <c r="O49" s="193"/>
      <c r="P49" s="193"/>
      <c r="Q49" s="193"/>
      <c r="R49" s="193"/>
      <c r="S49" s="193"/>
      <c r="T49" s="193"/>
      <c r="U49" s="188"/>
      <c r="V49" s="188"/>
    </row>
    <row r="50" spans="1:22" ht="49.5" customHeight="1" thickBot="1" x14ac:dyDescent="0.3">
      <c r="A50" s="218" t="s">
        <v>181</v>
      </c>
      <c r="B50" s="218"/>
      <c r="C50" s="200"/>
      <c r="D50" s="200"/>
      <c r="E50" s="95"/>
      <c r="F50" s="86"/>
      <c r="G50" s="200"/>
      <c r="H50" s="200"/>
      <c r="I50" s="208"/>
      <c r="J50" s="208"/>
      <c r="K50" s="203"/>
      <c r="L50" s="203"/>
      <c r="M50" s="192"/>
      <c r="N50" s="192"/>
      <c r="O50" s="193"/>
      <c r="P50" s="193"/>
      <c r="Q50" s="193"/>
      <c r="R50" s="193"/>
      <c r="S50" s="193"/>
      <c r="T50" s="193"/>
      <c r="U50" s="188"/>
      <c r="V50" s="188"/>
    </row>
    <row r="51" spans="1:22" ht="30.75" customHeight="1" thickBot="1" x14ac:dyDescent="0.3">
      <c r="A51" s="225" t="s">
        <v>182</v>
      </c>
      <c r="B51" s="225"/>
      <c r="C51" s="200">
        <f>(173/380)/380</f>
        <v>1.1980609418282548E-3</v>
      </c>
      <c r="D51" s="200"/>
      <c r="E51" s="98">
        <v>16</v>
      </c>
      <c r="F51" s="86">
        <f>1/239.55</f>
        <v>4.1744938426215824E-3</v>
      </c>
      <c r="G51" s="226">
        <f>C51*F51*E51</f>
        <v>8.0020768395959419E-5</v>
      </c>
      <c r="H51" s="226"/>
      <c r="I51" s="208">
        <f>'SERVENTE 20%'!$I$125</f>
        <v>3282.78</v>
      </c>
      <c r="J51" s="208"/>
      <c r="K51" s="203">
        <f>I51*G51</f>
        <v>0.26269057807488766</v>
      </c>
      <c r="L51" s="203"/>
      <c r="M51" s="192"/>
      <c r="N51" s="192"/>
      <c r="O51" s="193"/>
      <c r="P51" s="193"/>
      <c r="Q51" s="193"/>
      <c r="R51" s="193"/>
      <c r="S51" s="193"/>
      <c r="T51" s="193"/>
      <c r="U51" s="188"/>
      <c r="V51" s="188"/>
    </row>
    <row r="52" spans="1:22" ht="26.25" hidden="1" customHeight="1" thickBot="1" x14ac:dyDescent="0.3">
      <c r="A52" s="200" t="s">
        <v>142</v>
      </c>
      <c r="B52" s="200"/>
      <c r="C52" s="200"/>
      <c r="D52" s="200"/>
      <c r="E52" s="200"/>
      <c r="F52" s="200"/>
      <c r="G52" s="200"/>
      <c r="H52" s="200"/>
      <c r="I52" s="216"/>
      <c r="J52" s="216"/>
      <c r="K52" s="217">
        <f>K50+K51</f>
        <v>0.26269057807488766</v>
      </c>
      <c r="L52" s="217"/>
      <c r="M52" s="192"/>
      <c r="N52" s="192"/>
      <c r="O52" s="193"/>
      <c r="P52" s="193"/>
      <c r="Q52" s="193"/>
      <c r="R52" s="193"/>
      <c r="S52" s="193"/>
      <c r="T52" s="193"/>
      <c r="U52" s="188"/>
      <c r="V52" s="188"/>
    </row>
    <row r="53" spans="1:22" ht="6.75" customHeight="1" thickBot="1" x14ac:dyDescent="0.3">
      <c r="A53" s="93"/>
      <c r="B53" s="96"/>
      <c r="C53" s="96"/>
      <c r="D53" s="222"/>
      <c r="E53" s="222"/>
      <c r="F53" s="96"/>
      <c r="G53" s="96"/>
      <c r="H53" s="96"/>
      <c r="I53" s="215"/>
      <c r="J53" s="215"/>
      <c r="K53" s="216"/>
      <c r="L53" s="216"/>
      <c r="M53" s="192"/>
      <c r="N53" s="192"/>
      <c r="O53" s="193"/>
      <c r="P53" s="193"/>
      <c r="Q53" s="193"/>
      <c r="R53" s="193"/>
      <c r="S53" s="193"/>
      <c r="T53" s="193"/>
      <c r="U53" s="188"/>
      <c r="V53" s="188"/>
    </row>
    <row r="54" spans="1:22" ht="26.25" hidden="1" customHeight="1" thickBot="1" x14ac:dyDescent="0.3">
      <c r="A54" s="199" t="s">
        <v>183</v>
      </c>
      <c r="B54" s="199"/>
      <c r="E54" s="95"/>
      <c r="F54" s="86"/>
      <c r="G54" s="200"/>
      <c r="H54" s="200"/>
      <c r="I54" s="208"/>
      <c r="J54" s="208"/>
      <c r="K54" s="203"/>
      <c r="L54" s="203"/>
      <c r="M54" s="192"/>
      <c r="N54" s="192"/>
      <c r="O54" s="193"/>
      <c r="P54" s="193"/>
      <c r="Q54" s="193"/>
      <c r="R54" s="193"/>
      <c r="S54" s="193"/>
      <c r="T54" s="193"/>
      <c r="U54" s="188"/>
      <c r="V54" s="188"/>
    </row>
    <row r="55" spans="1:22" ht="39" customHeight="1" thickBot="1" x14ac:dyDescent="0.3">
      <c r="A55" s="231" t="s">
        <v>184</v>
      </c>
      <c r="B55" s="231"/>
      <c r="C55" s="200">
        <f>(287.43/380)/380</f>
        <v>1.990512465373961E-3</v>
      </c>
      <c r="D55" s="200"/>
      <c r="E55" s="98">
        <v>16</v>
      </c>
      <c r="F55" s="99" t="s">
        <v>179</v>
      </c>
      <c r="G55" s="226">
        <v>3.8000000000000002E-4</v>
      </c>
      <c r="H55" s="226"/>
      <c r="I55" s="208">
        <f>I51</f>
        <v>3282.78</v>
      </c>
      <c r="J55" s="208"/>
      <c r="K55" s="203">
        <f>I55*G55</f>
        <v>1.2474564000000001</v>
      </c>
      <c r="L55" s="203"/>
      <c r="M55" s="192"/>
      <c r="N55" s="192"/>
      <c r="O55" s="193"/>
      <c r="P55" s="193"/>
      <c r="Q55" s="193"/>
      <c r="R55" s="193"/>
      <c r="S55" s="193"/>
      <c r="T55" s="193"/>
      <c r="U55" s="188"/>
      <c r="V55" s="188"/>
    </row>
    <row r="56" spans="1:22" ht="26.25" customHeight="1" thickBot="1" x14ac:dyDescent="0.3">
      <c r="A56" s="200" t="s">
        <v>142</v>
      </c>
      <c r="B56" s="200"/>
      <c r="C56" s="200"/>
      <c r="D56" s="200"/>
      <c r="E56" s="200"/>
      <c r="F56" s="200"/>
      <c r="G56" s="200"/>
      <c r="H56" s="200"/>
      <c r="I56" s="216"/>
      <c r="J56" s="216"/>
      <c r="K56" s="203">
        <f>K54+K51+K55</f>
        <v>1.5101469780748877</v>
      </c>
      <c r="L56" s="203"/>
      <c r="M56" s="192"/>
      <c r="N56" s="192"/>
      <c r="O56" s="193"/>
      <c r="P56" s="193"/>
      <c r="Q56" s="193"/>
      <c r="R56" s="193"/>
      <c r="S56" s="193"/>
      <c r="T56" s="193"/>
      <c r="U56" s="188"/>
      <c r="V56" s="188"/>
    </row>
    <row r="57" spans="1:22" ht="15.75" customHeight="1" thickBot="1" x14ac:dyDescent="0.3">
      <c r="A57" s="93"/>
      <c r="B57" s="96"/>
      <c r="C57" s="96"/>
      <c r="D57" s="222"/>
      <c r="E57" s="222"/>
      <c r="F57" s="96"/>
      <c r="G57" s="96"/>
      <c r="H57" s="96"/>
      <c r="I57" s="215"/>
      <c r="J57" s="215"/>
      <c r="K57" s="216"/>
      <c r="L57" s="216"/>
      <c r="M57" s="192"/>
      <c r="N57" s="192"/>
      <c r="O57" s="193"/>
      <c r="P57" s="193"/>
      <c r="Q57" s="193"/>
      <c r="R57" s="193"/>
      <c r="S57" s="193"/>
      <c r="T57" s="193"/>
      <c r="U57" s="188"/>
      <c r="V57" s="188"/>
    </row>
    <row r="58" spans="1:22" ht="90.75" customHeight="1" thickBot="1" x14ac:dyDescent="0.3">
      <c r="A58" s="195" t="s">
        <v>172</v>
      </c>
      <c r="B58" s="195"/>
      <c r="C58" s="195" t="s">
        <v>173</v>
      </c>
      <c r="D58" s="195"/>
      <c r="E58" s="97" t="s">
        <v>174</v>
      </c>
      <c r="F58" s="100" t="s">
        <v>175</v>
      </c>
      <c r="G58" s="195" t="s">
        <v>176</v>
      </c>
      <c r="H58" s="195"/>
      <c r="I58" s="196" t="s">
        <v>177</v>
      </c>
      <c r="J58" s="196"/>
      <c r="K58" s="195" t="s">
        <v>153</v>
      </c>
      <c r="L58" s="195"/>
      <c r="M58" s="193"/>
      <c r="N58" s="193"/>
      <c r="O58" s="193"/>
      <c r="P58" s="193"/>
      <c r="Q58" s="193"/>
      <c r="R58" s="193"/>
      <c r="S58" s="193"/>
      <c r="T58" s="193"/>
      <c r="U58" s="188"/>
      <c r="V58" s="188"/>
    </row>
    <row r="59" spans="1:22" ht="16.5" customHeight="1" thickBot="1" x14ac:dyDescent="0.3">
      <c r="A59" s="218" t="s">
        <v>178</v>
      </c>
      <c r="B59" s="218"/>
      <c r="C59" s="200" t="s">
        <v>185</v>
      </c>
      <c r="D59" s="200"/>
      <c r="E59" s="95">
        <v>8</v>
      </c>
      <c r="F59" s="86" t="s">
        <v>179</v>
      </c>
      <c r="G59" s="228">
        <f>1/(30*300)</f>
        <v>1.1111111111111112E-4</v>
      </c>
      <c r="H59" s="228"/>
      <c r="I59" s="208" t="e">
        <f>#REF!</f>
        <v>#REF!</v>
      </c>
      <c r="J59" s="208"/>
      <c r="K59" s="229"/>
      <c r="L59" s="229"/>
      <c r="M59" s="192"/>
      <c r="N59" s="192"/>
      <c r="O59" s="193"/>
      <c r="P59" s="193"/>
      <c r="Q59" s="193"/>
      <c r="R59" s="193"/>
      <c r="S59" s="193"/>
      <c r="T59" s="193"/>
      <c r="U59" s="188"/>
      <c r="V59" s="188"/>
    </row>
    <row r="60" spans="1:22" ht="16.5" customHeight="1" thickBot="1" x14ac:dyDescent="0.3">
      <c r="A60" s="225" t="s">
        <v>180</v>
      </c>
      <c r="B60" s="225"/>
      <c r="C60" s="226" t="s">
        <v>156</v>
      </c>
      <c r="D60" s="226"/>
      <c r="E60" s="98">
        <v>8</v>
      </c>
      <c r="F60" s="99" t="s">
        <v>179</v>
      </c>
      <c r="G60" s="227">
        <f>1/(30*300)</f>
        <v>1.1111111111111112E-4</v>
      </c>
      <c r="H60" s="227"/>
      <c r="I60" s="208">
        <f>'SERVENTE 20%'!I125</f>
        <v>3282.78</v>
      </c>
      <c r="J60" s="208"/>
      <c r="K60" s="203"/>
      <c r="L60" s="203"/>
      <c r="M60" s="204"/>
      <c r="N60" s="204"/>
      <c r="O60" s="193"/>
      <c r="P60" s="193"/>
      <c r="Q60" s="193"/>
      <c r="R60" s="193"/>
      <c r="S60" s="193"/>
      <c r="T60" s="193"/>
      <c r="U60" s="188"/>
      <c r="V60" s="188"/>
    </row>
    <row r="61" spans="1:22" ht="32.25" customHeight="1" thickBot="1" x14ac:dyDescent="0.3">
      <c r="A61" s="200" t="s">
        <v>142</v>
      </c>
      <c r="B61" s="200"/>
      <c r="C61" s="200"/>
      <c r="D61" s="200"/>
      <c r="E61" s="200"/>
      <c r="F61" s="200"/>
      <c r="G61" s="200"/>
      <c r="H61" s="200"/>
      <c r="I61" s="216"/>
      <c r="J61" s="216"/>
      <c r="K61" s="203">
        <f>K59+K60</f>
        <v>0</v>
      </c>
      <c r="L61" s="203"/>
      <c r="M61" s="205"/>
      <c r="N61" s="205"/>
      <c r="O61" s="193"/>
      <c r="P61" s="193"/>
      <c r="Q61" s="193"/>
      <c r="R61" s="193"/>
      <c r="S61" s="193"/>
      <c r="T61" s="193"/>
      <c r="U61" s="188"/>
      <c r="V61" s="188"/>
    </row>
    <row r="62" spans="1:22" ht="15.75" customHeight="1" thickBot="1" x14ac:dyDescent="0.3">
      <c r="A62" s="198" t="s">
        <v>186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83"/>
      <c r="N62" s="193"/>
      <c r="O62" s="193"/>
      <c r="P62" s="193"/>
      <c r="Q62" s="193"/>
      <c r="R62" s="193"/>
      <c r="S62" s="193"/>
      <c r="T62" s="193"/>
      <c r="U62" s="193"/>
      <c r="V62" s="81"/>
    </row>
    <row r="63" spans="1:22" ht="41.25" customHeight="1" thickBot="1" x14ac:dyDescent="0.3">
      <c r="A63" s="232" t="s">
        <v>187</v>
      </c>
      <c r="B63" s="232"/>
      <c r="C63" s="232"/>
      <c r="D63" s="232"/>
      <c r="E63" s="232"/>
      <c r="F63" s="232" t="s">
        <v>188</v>
      </c>
      <c r="G63" s="232"/>
      <c r="H63" s="233" t="s">
        <v>189</v>
      </c>
      <c r="I63" s="233"/>
      <c r="J63" s="233"/>
      <c r="K63" s="232" t="s">
        <v>153</v>
      </c>
      <c r="L63" s="232"/>
      <c r="M63" s="234"/>
      <c r="N63" s="234"/>
      <c r="O63" s="234"/>
      <c r="P63" s="234"/>
      <c r="Q63" s="234"/>
      <c r="R63" s="234"/>
      <c r="S63" s="234"/>
      <c r="T63" s="234"/>
      <c r="U63" s="188"/>
      <c r="V63" s="188"/>
    </row>
    <row r="64" spans="1:22" ht="33" customHeight="1" thickBot="1" x14ac:dyDescent="0.3">
      <c r="A64" s="235" t="s">
        <v>190</v>
      </c>
      <c r="B64" s="235"/>
      <c r="C64" s="235"/>
      <c r="D64" s="235"/>
      <c r="E64" s="235"/>
      <c r="F64" s="236">
        <f>I11</f>
        <v>8.357228373333335</v>
      </c>
      <c r="G64" s="236"/>
      <c r="H64" s="237">
        <v>229.18</v>
      </c>
      <c r="I64" s="237"/>
      <c r="J64" s="237"/>
      <c r="K64" s="238">
        <f>H64*F64</f>
        <v>1915.3095986005337</v>
      </c>
      <c r="L64" s="238"/>
      <c r="M64" s="239"/>
      <c r="N64" s="239"/>
      <c r="O64" s="234"/>
      <c r="P64" s="234"/>
      <c r="Q64" s="234"/>
      <c r="R64" s="234"/>
      <c r="S64" s="234"/>
      <c r="T64" s="234"/>
      <c r="U64" s="188"/>
      <c r="V64" s="188"/>
    </row>
    <row r="65" spans="1:22" ht="33" customHeight="1" thickBot="1" x14ac:dyDescent="0.3">
      <c r="A65" s="235" t="s">
        <v>191</v>
      </c>
      <c r="B65" s="235"/>
      <c r="C65" s="235"/>
      <c r="D65" s="235"/>
      <c r="E65" s="235"/>
      <c r="F65" s="236">
        <f>I15</f>
        <v>2.0636933037037037</v>
      </c>
      <c r="G65" s="236"/>
      <c r="H65" s="237">
        <v>127.12</v>
      </c>
      <c r="I65" s="237"/>
      <c r="J65" s="237"/>
      <c r="K65" s="240">
        <f t="shared" ref="K65:K70" si="0">H65*F65</f>
        <v>262.33669276681485</v>
      </c>
      <c r="L65" s="240"/>
      <c r="M65" s="102"/>
      <c r="N65" s="101"/>
      <c r="O65" s="103"/>
      <c r="P65" s="103"/>
      <c r="Q65" s="103"/>
      <c r="R65" s="103"/>
      <c r="S65" s="103"/>
      <c r="T65" s="103"/>
      <c r="U65" s="81"/>
      <c r="V65" s="81"/>
    </row>
    <row r="66" spans="1:22" ht="16.5" customHeight="1" thickBot="1" x14ac:dyDescent="0.3">
      <c r="A66" s="235" t="s">
        <v>192</v>
      </c>
      <c r="B66" s="235"/>
      <c r="C66" s="235"/>
      <c r="D66" s="235"/>
      <c r="E66" s="235"/>
      <c r="F66" s="236">
        <f>I18</f>
        <v>6.5049425554166671</v>
      </c>
      <c r="G66" s="236"/>
      <c r="H66" s="237">
        <v>2853.41</v>
      </c>
      <c r="I66" s="237"/>
      <c r="J66" s="237"/>
      <c r="K66" s="238">
        <f t="shared" si="0"/>
        <v>18561.268137051473</v>
      </c>
      <c r="L66" s="238"/>
      <c r="M66" s="239"/>
      <c r="N66" s="239"/>
      <c r="O66" s="234"/>
      <c r="P66" s="234"/>
      <c r="Q66" s="234"/>
      <c r="R66" s="234"/>
      <c r="S66" s="234"/>
      <c r="T66" s="234"/>
      <c r="U66" s="188"/>
      <c r="V66" s="188"/>
    </row>
    <row r="67" spans="1:22" ht="0.75" customHeight="1" thickBot="1" x14ac:dyDescent="0.3">
      <c r="A67" s="235" t="s">
        <v>193</v>
      </c>
      <c r="B67" s="235"/>
      <c r="C67" s="235"/>
      <c r="D67" s="235"/>
      <c r="E67" s="235"/>
      <c r="F67" s="236" t="e">
        <f>I22</f>
        <v>#REF!</v>
      </c>
      <c r="G67" s="236"/>
      <c r="H67" s="237">
        <v>0</v>
      </c>
      <c r="I67" s="237"/>
      <c r="J67" s="237"/>
      <c r="K67" s="238" t="e">
        <f t="shared" si="0"/>
        <v>#REF!</v>
      </c>
      <c r="L67" s="238"/>
      <c r="M67" s="239"/>
      <c r="N67" s="239"/>
      <c r="O67" s="234"/>
      <c r="P67" s="234"/>
      <c r="Q67" s="234"/>
      <c r="R67" s="234"/>
      <c r="S67" s="234"/>
      <c r="T67" s="234"/>
      <c r="U67" s="188"/>
      <c r="V67" s="188"/>
    </row>
    <row r="68" spans="1:22" ht="16.5" customHeight="1" thickBot="1" x14ac:dyDescent="0.3">
      <c r="A68" s="235" t="s">
        <v>194</v>
      </c>
      <c r="B68" s="235"/>
      <c r="C68" s="235"/>
      <c r="D68" s="235"/>
      <c r="E68" s="235"/>
      <c r="F68" s="236">
        <f>I25</f>
        <v>131.15381542149422</v>
      </c>
      <c r="G68" s="236"/>
      <c r="H68" s="237">
        <v>25.83</v>
      </c>
      <c r="I68" s="237"/>
      <c r="J68" s="237"/>
      <c r="K68" s="238">
        <f>H68*F68</f>
        <v>3387.7030523371955</v>
      </c>
      <c r="L68" s="238"/>
      <c r="M68" s="239"/>
      <c r="N68" s="239"/>
      <c r="O68" s="234"/>
      <c r="P68" s="234"/>
      <c r="Q68" s="234"/>
      <c r="R68" s="234"/>
      <c r="S68" s="234"/>
      <c r="T68" s="234"/>
      <c r="U68" s="188"/>
      <c r="V68" s="188"/>
    </row>
    <row r="69" spans="1:22" ht="16.5" customHeight="1" thickBot="1" x14ac:dyDescent="0.3">
      <c r="A69" s="235" t="s">
        <v>195</v>
      </c>
      <c r="B69" s="235"/>
      <c r="C69" s="235"/>
      <c r="D69" s="235"/>
      <c r="E69" s="235"/>
      <c r="F69" s="236"/>
      <c r="G69" s="236"/>
      <c r="H69" s="237">
        <v>0</v>
      </c>
      <c r="I69" s="237"/>
      <c r="J69" s="237"/>
      <c r="K69" s="238">
        <f t="shared" si="0"/>
        <v>0</v>
      </c>
      <c r="L69" s="238"/>
      <c r="M69" s="239"/>
      <c r="N69" s="239"/>
      <c r="O69" s="234"/>
      <c r="P69" s="234"/>
      <c r="Q69" s="234"/>
      <c r="R69" s="234"/>
      <c r="S69" s="234"/>
      <c r="T69" s="234"/>
      <c r="U69" s="188"/>
      <c r="V69" s="188"/>
    </row>
    <row r="70" spans="1:22" ht="25.5" customHeight="1" thickBot="1" x14ac:dyDescent="0.3">
      <c r="A70" s="235" t="s">
        <v>196</v>
      </c>
      <c r="B70" s="235"/>
      <c r="C70" s="235"/>
      <c r="D70" s="235"/>
      <c r="E70" s="235"/>
      <c r="F70" s="236">
        <f>I32</f>
        <v>1.281262906144</v>
      </c>
      <c r="G70" s="236"/>
      <c r="H70" s="237">
        <v>869.16</v>
      </c>
      <c r="I70" s="237"/>
      <c r="J70" s="237"/>
      <c r="K70" s="238">
        <f t="shared" si="0"/>
        <v>1113.622467504119</v>
      </c>
      <c r="L70" s="238"/>
      <c r="M70" s="239"/>
      <c r="N70" s="239"/>
      <c r="O70" s="234"/>
      <c r="P70" s="234"/>
      <c r="Q70" s="234"/>
      <c r="R70" s="234"/>
      <c r="S70" s="234"/>
      <c r="T70" s="234"/>
      <c r="U70" s="188"/>
      <c r="V70" s="188"/>
    </row>
    <row r="71" spans="1:22" ht="31.5" customHeight="1" thickBot="1" x14ac:dyDescent="0.3">
      <c r="A71" s="232" t="s">
        <v>197</v>
      </c>
      <c r="B71" s="232"/>
      <c r="C71" s="232"/>
      <c r="D71" s="232"/>
      <c r="E71" s="232"/>
      <c r="F71" s="232"/>
      <c r="G71" s="232"/>
      <c r="H71" s="241">
        <f>H66+H70</f>
        <v>3722.5699999999997</v>
      </c>
      <c r="I71" s="241"/>
      <c r="J71" s="241"/>
      <c r="K71" s="217">
        <f>K70+K66+K65+K64</f>
        <v>21852.536895922938</v>
      </c>
      <c r="L71" s="217"/>
      <c r="M71" s="192"/>
      <c r="N71" s="192"/>
      <c r="O71" s="193"/>
      <c r="P71" s="193"/>
      <c r="Q71" s="193"/>
      <c r="R71" s="193"/>
      <c r="S71" s="193"/>
      <c r="T71" s="193"/>
      <c r="U71" s="188"/>
      <c r="V71" s="188"/>
    </row>
    <row r="72" spans="1:22" ht="16.5" thickBot="1" x14ac:dyDescent="0.3">
      <c r="A72" s="104"/>
      <c r="B72" s="105"/>
      <c r="C72" s="105"/>
      <c r="D72" s="106"/>
      <c r="E72" s="106"/>
      <c r="F72" s="105"/>
      <c r="G72" s="105"/>
      <c r="H72" s="107"/>
      <c r="I72" s="107"/>
      <c r="J72" s="108"/>
      <c r="K72" s="109"/>
      <c r="L72" s="110"/>
      <c r="M72" s="77"/>
      <c r="N72" s="78"/>
      <c r="O72" s="83"/>
      <c r="P72" s="83"/>
      <c r="Q72" s="83"/>
      <c r="R72" s="83"/>
      <c r="S72" s="83"/>
      <c r="T72" s="83"/>
      <c r="U72" s="81"/>
      <c r="V72" s="81"/>
    </row>
    <row r="73" spans="1:22" ht="15" customHeight="1" thickBot="1" x14ac:dyDescent="0.3">
      <c r="A73" s="93"/>
      <c r="B73" s="96"/>
      <c r="C73" s="96"/>
      <c r="D73" s="215"/>
      <c r="E73" s="215"/>
      <c r="F73" s="96"/>
      <c r="G73" s="96"/>
      <c r="H73" s="215"/>
      <c r="I73" s="215"/>
      <c r="J73" s="96"/>
      <c r="K73" s="216"/>
      <c r="L73" s="216"/>
      <c r="M73" s="239"/>
      <c r="N73" s="239"/>
      <c r="O73" s="234"/>
      <c r="P73" s="234"/>
      <c r="Q73" s="234"/>
      <c r="R73" s="234"/>
      <c r="S73" s="234"/>
      <c r="T73" s="234"/>
      <c r="U73" s="188"/>
      <c r="V73" s="188"/>
    </row>
    <row r="74" spans="1:22" ht="39" customHeight="1" thickBot="1" x14ac:dyDescent="0.3">
      <c r="A74" s="235" t="s">
        <v>198</v>
      </c>
      <c r="B74" s="235"/>
      <c r="C74" s="235"/>
      <c r="D74" s="235"/>
      <c r="E74" s="235"/>
      <c r="F74" s="242">
        <f>I38</f>
        <v>2.6498633138477525</v>
      </c>
      <c r="G74" s="242"/>
      <c r="H74" s="243">
        <v>1283</v>
      </c>
      <c r="I74" s="243"/>
      <c r="J74" s="243"/>
      <c r="K74" s="244">
        <f>H74*F74</f>
        <v>3399.7746316666667</v>
      </c>
      <c r="L74" s="244"/>
      <c r="M74" s="239"/>
      <c r="N74" s="239"/>
      <c r="O74" s="234"/>
      <c r="P74" s="234"/>
      <c r="Q74" s="234"/>
      <c r="R74" s="234"/>
      <c r="S74" s="234"/>
      <c r="T74" s="234"/>
      <c r="U74" s="188"/>
      <c r="V74" s="188"/>
    </row>
    <row r="75" spans="1:22" ht="36.75" customHeight="1" thickBot="1" x14ac:dyDescent="0.3">
      <c r="A75" s="235" t="s">
        <v>199</v>
      </c>
      <c r="B75" s="235"/>
      <c r="C75" s="235"/>
      <c r="D75" s="235"/>
      <c r="E75" s="235"/>
      <c r="F75" s="242">
        <f>I41</f>
        <v>0.66041281081516057</v>
      </c>
      <c r="G75" s="242"/>
      <c r="H75" s="243">
        <v>4970.8</v>
      </c>
      <c r="I75" s="243"/>
      <c r="J75" s="243"/>
      <c r="K75" s="244">
        <f>H75*F75</f>
        <v>3282.78</v>
      </c>
      <c r="L75" s="244"/>
      <c r="M75" s="239"/>
      <c r="N75" s="239"/>
      <c r="O75" s="234"/>
      <c r="P75" s="234"/>
      <c r="Q75" s="234"/>
      <c r="R75" s="234"/>
      <c r="S75" s="234"/>
      <c r="T75" s="234"/>
      <c r="U75" s="188"/>
      <c r="V75" s="188"/>
    </row>
    <row r="76" spans="1:22" ht="39" customHeight="1" thickBot="1" x14ac:dyDescent="0.3">
      <c r="A76" s="235" t="s">
        <v>200</v>
      </c>
      <c r="B76" s="235"/>
      <c r="C76" s="235"/>
      <c r="D76" s="235"/>
      <c r="E76" s="235"/>
      <c r="F76" s="242">
        <f>I40</f>
        <v>3.3948086866597729</v>
      </c>
      <c r="G76" s="242"/>
      <c r="I76" s="72">
        <v>1934.5</v>
      </c>
      <c r="K76" s="244">
        <f>F76*I76</f>
        <v>6567.2574043433306</v>
      </c>
      <c r="L76" s="244"/>
      <c r="M76" s="239"/>
      <c r="N76" s="239"/>
      <c r="O76" s="234"/>
      <c r="P76" s="234"/>
      <c r="Q76" s="234"/>
      <c r="R76" s="234"/>
      <c r="S76" s="234"/>
      <c r="T76" s="234"/>
      <c r="U76" s="188"/>
      <c r="V76" s="188"/>
    </row>
    <row r="77" spans="1:22" ht="37.5" customHeight="1" thickBot="1" x14ac:dyDescent="0.3">
      <c r="A77" s="235" t="s">
        <v>201</v>
      </c>
      <c r="B77" s="235"/>
      <c r="C77" s="235"/>
      <c r="D77" s="235"/>
      <c r="E77" s="235"/>
      <c r="F77" s="243"/>
      <c r="G77" s="243"/>
      <c r="H77" s="243"/>
      <c r="I77" s="243"/>
      <c r="J77" s="243"/>
      <c r="K77" s="244"/>
      <c r="L77" s="244"/>
      <c r="M77" s="239"/>
      <c r="N77" s="239"/>
      <c r="O77" s="234"/>
      <c r="P77" s="234"/>
      <c r="Q77" s="234"/>
      <c r="R77" s="234"/>
      <c r="S77" s="234"/>
      <c r="T77" s="234"/>
      <c r="U77" s="188"/>
      <c r="V77" s="188"/>
    </row>
    <row r="78" spans="1:22" ht="34.5" customHeight="1" thickBot="1" x14ac:dyDescent="0.3">
      <c r="A78" s="235" t="s">
        <v>202</v>
      </c>
      <c r="B78" s="235"/>
      <c r="C78" s="235"/>
      <c r="D78" s="235"/>
      <c r="E78" s="235"/>
      <c r="F78" s="242">
        <f>I42</f>
        <v>0</v>
      </c>
      <c r="G78" s="242"/>
      <c r="H78" s="243"/>
      <c r="I78" s="243"/>
      <c r="J78" s="243"/>
      <c r="K78" s="244"/>
      <c r="L78" s="244"/>
      <c r="M78" s="239"/>
      <c r="N78" s="239"/>
      <c r="O78" s="234"/>
      <c r="P78" s="234"/>
      <c r="Q78" s="234"/>
      <c r="R78" s="234"/>
      <c r="S78" s="234"/>
      <c r="T78" s="234"/>
      <c r="U78" s="188"/>
      <c r="V78" s="188"/>
    </row>
    <row r="79" spans="1:22" ht="30" customHeight="1" thickBot="1" x14ac:dyDescent="0.3">
      <c r="A79" s="232" t="s">
        <v>203</v>
      </c>
      <c r="B79" s="232"/>
      <c r="C79" s="232"/>
      <c r="D79" s="232"/>
      <c r="E79" s="232"/>
      <c r="F79" s="232"/>
      <c r="G79" s="232"/>
      <c r="H79" s="237">
        <f>SUM(H74:J78)</f>
        <v>8188.3</v>
      </c>
      <c r="I79" s="237"/>
      <c r="J79" s="237"/>
      <c r="K79" s="245">
        <f>+K74+K78+K75+K76</f>
        <v>13249.812036009997</v>
      </c>
      <c r="L79" s="245"/>
      <c r="M79" s="192"/>
      <c r="N79" s="192"/>
      <c r="O79" s="193"/>
      <c r="P79" s="193"/>
      <c r="Q79" s="193"/>
      <c r="R79" s="193"/>
      <c r="S79" s="193"/>
      <c r="T79" s="193"/>
      <c r="U79" s="188"/>
      <c r="V79" s="188"/>
    </row>
    <row r="80" spans="1:22" ht="16.5" thickBot="1" x14ac:dyDescent="0.3">
      <c r="A80" s="104"/>
      <c r="B80" s="105"/>
      <c r="C80" s="105"/>
      <c r="D80" s="106"/>
      <c r="E80" s="106"/>
      <c r="F80" s="105"/>
      <c r="G80" s="105"/>
      <c r="H80" s="106"/>
      <c r="I80" s="106"/>
      <c r="J80" s="105"/>
      <c r="K80" s="111"/>
      <c r="L80" s="112"/>
      <c r="M80" s="77"/>
      <c r="N80" s="78"/>
      <c r="O80" s="83"/>
      <c r="P80" s="83"/>
      <c r="Q80" s="83"/>
      <c r="R80" s="83"/>
      <c r="S80" s="83"/>
      <c r="T80" s="83"/>
      <c r="U80" s="81"/>
      <c r="V80" s="81"/>
    </row>
    <row r="81" spans="1:22" ht="16.5" thickBot="1" x14ac:dyDescent="0.3">
      <c r="A81" s="93"/>
      <c r="B81" s="96"/>
      <c r="C81" s="96"/>
      <c r="D81" s="215"/>
      <c r="E81" s="215"/>
      <c r="F81" s="96"/>
      <c r="G81" s="96"/>
      <c r="H81" s="215"/>
      <c r="I81" s="215"/>
      <c r="J81" s="96"/>
      <c r="K81" s="216"/>
      <c r="L81" s="216"/>
      <c r="M81" s="192"/>
      <c r="N81" s="192"/>
      <c r="O81" s="193"/>
      <c r="P81" s="193"/>
      <c r="Q81" s="193"/>
      <c r="R81" s="193"/>
      <c r="S81" s="193"/>
      <c r="T81" s="193"/>
      <c r="U81" s="188"/>
      <c r="V81" s="188"/>
    </row>
    <row r="82" spans="1:22" ht="57.75" customHeight="1" thickBot="1" x14ac:dyDescent="0.3">
      <c r="A82" s="207" t="s">
        <v>204</v>
      </c>
      <c r="B82" s="207"/>
      <c r="C82" s="207"/>
      <c r="D82" s="207"/>
      <c r="E82" s="207"/>
      <c r="F82" s="208"/>
      <c r="G82" s="208"/>
      <c r="H82" s="200"/>
      <c r="I82" s="200"/>
      <c r="J82" s="200"/>
      <c r="K82" s="203">
        <f>H82*F82</f>
        <v>0</v>
      </c>
      <c r="L82" s="203"/>
      <c r="M82" s="192"/>
      <c r="N82" s="192"/>
      <c r="O82" s="193"/>
      <c r="P82" s="193"/>
      <c r="Q82" s="193"/>
      <c r="R82" s="193"/>
      <c r="S82" s="193"/>
      <c r="T82" s="193"/>
      <c r="U82" s="188"/>
      <c r="V82" s="188"/>
    </row>
    <row r="83" spans="1:22" ht="31.5" customHeight="1" thickBot="1" x14ac:dyDescent="0.3">
      <c r="A83" s="207" t="s">
        <v>205</v>
      </c>
      <c r="B83" s="207"/>
      <c r="C83" s="207"/>
      <c r="D83" s="207"/>
      <c r="E83" s="207"/>
      <c r="F83" s="208">
        <f>K51</f>
        <v>0.26269057807488766</v>
      </c>
      <c r="G83" s="208"/>
      <c r="H83" s="200">
        <v>173.25</v>
      </c>
      <c r="I83" s="200"/>
      <c r="J83" s="200"/>
      <c r="K83" s="203">
        <f>H83*F83</f>
        <v>45.511142651474287</v>
      </c>
      <c r="L83" s="203"/>
      <c r="M83" s="192"/>
      <c r="N83" s="192"/>
      <c r="O83" s="193"/>
      <c r="P83" s="193"/>
      <c r="Q83" s="193"/>
      <c r="R83" s="193"/>
      <c r="S83" s="193"/>
      <c r="T83" s="193"/>
      <c r="U83" s="188"/>
      <c r="V83" s="188"/>
    </row>
    <row r="84" spans="1:22" ht="31.5" customHeight="1" thickBot="1" x14ac:dyDescent="0.3">
      <c r="A84" s="207" t="s">
        <v>206</v>
      </c>
      <c r="B84" s="207"/>
      <c r="C84" s="207"/>
      <c r="D84" s="207"/>
      <c r="E84" s="207"/>
      <c r="F84" s="208">
        <f>K55</f>
        <v>1.2474564000000001</v>
      </c>
      <c r="G84" s="208"/>
      <c r="H84" s="200">
        <v>287.43</v>
      </c>
      <c r="I84" s="200"/>
      <c r="J84" s="200"/>
      <c r="K84" s="203">
        <f>H84*F84</f>
        <v>358.55639305200003</v>
      </c>
      <c r="L84" s="203"/>
      <c r="M84" s="239"/>
      <c r="N84" s="239"/>
      <c r="O84" s="234"/>
      <c r="P84" s="234"/>
      <c r="Q84" s="234"/>
      <c r="R84" s="234"/>
      <c r="S84" s="234"/>
      <c r="T84" s="234"/>
      <c r="U84" s="188"/>
      <c r="V84" s="188"/>
    </row>
    <row r="85" spans="1:22" ht="27" customHeight="1" thickBot="1" x14ac:dyDescent="0.3">
      <c r="A85" s="232" t="s">
        <v>207</v>
      </c>
      <c r="B85" s="232"/>
      <c r="C85" s="232"/>
      <c r="D85" s="232"/>
      <c r="E85" s="232"/>
      <c r="F85" s="232"/>
      <c r="G85" s="232"/>
      <c r="H85" s="237">
        <f>H82+H83+H84</f>
        <v>460.68</v>
      </c>
      <c r="I85" s="237"/>
      <c r="J85" s="237"/>
      <c r="K85" s="246">
        <f>K84+K83+K82</f>
        <v>404.06753570347433</v>
      </c>
      <c r="L85" s="246"/>
      <c r="M85" s="192"/>
      <c r="N85" s="192"/>
      <c r="O85" s="193"/>
      <c r="P85" s="193"/>
      <c r="Q85" s="193"/>
      <c r="R85" s="193"/>
      <c r="S85" s="193"/>
      <c r="T85" s="193"/>
      <c r="U85" s="188"/>
      <c r="V85" s="188"/>
    </row>
    <row r="86" spans="1:22" ht="16.5" thickBot="1" x14ac:dyDescent="0.3">
      <c r="A86" s="113"/>
      <c r="B86" s="82"/>
      <c r="C86" s="82"/>
      <c r="D86" s="194"/>
      <c r="E86" s="194"/>
      <c r="F86" s="82"/>
      <c r="G86" s="82"/>
      <c r="H86" s="194"/>
      <c r="I86" s="194"/>
      <c r="J86" s="82"/>
      <c r="K86" s="216"/>
      <c r="L86" s="216"/>
      <c r="M86" s="247"/>
      <c r="N86" s="247"/>
      <c r="O86" s="193"/>
      <c r="P86" s="193"/>
      <c r="Q86" s="193"/>
      <c r="R86" s="193"/>
      <c r="S86" s="193"/>
      <c r="T86" s="193"/>
      <c r="U86" s="188"/>
      <c r="V86" s="188"/>
    </row>
    <row r="87" spans="1:22" ht="32.25" customHeight="1" thickBot="1" x14ac:dyDescent="0.3">
      <c r="A87" s="248" t="s">
        <v>142</v>
      </c>
      <c r="B87" s="248"/>
      <c r="C87" s="248"/>
      <c r="D87" s="248"/>
      <c r="E87" s="248"/>
      <c r="F87" s="248"/>
      <c r="G87" s="248"/>
      <c r="H87" s="248">
        <f>H85+H79+H71</f>
        <v>12371.55</v>
      </c>
      <c r="I87" s="248"/>
      <c r="J87" s="248"/>
      <c r="K87" s="249">
        <f>K85+K79+K71</f>
        <v>35506.416467636409</v>
      </c>
      <c r="L87" s="249"/>
      <c r="M87" s="192"/>
      <c r="N87" s="192"/>
      <c r="O87" s="193"/>
      <c r="P87" s="193"/>
      <c r="Q87" s="193"/>
      <c r="R87" s="193"/>
      <c r="S87" s="193"/>
      <c r="T87" s="193"/>
      <c r="U87" s="188"/>
      <c r="V87" s="188"/>
    </row>
    <row r="88" spans="1:22" ht="16.5" thickBot="1" x14ac:dyDescent="0.3">
      <c r="A88" s="114"/>
      <c r="B88" s="114"/>
      <c r="C88" s="114"/>
      <c r="D88" s="114"/>
      <c r="E88" s="114"/>
      <c r="F88" s="114"/>
      <c r="G88" s="114"/>
      <c r="H88" s="114"/>
      <c r="I88" s="114"/>
      <c r="J88" s="115">
        <f>K87</f>
        <v>35506.416467636409</v>
      </c>
      <c r="K88" s="116"/>
      <c r="L88" s="116"/>
      <c r="M88" s="114"/>
      <c r="N88" s="193"/>
      <c r="O88" s="193"/>
      <c r="P88" s="193"/>
      <c r="Q88" s="193"/>
      <c r="R88" s="193"/>
      <c r="S88" s="193"/>
      <c r="T88" s="193"/>
      <c r="U88" s="193"/>
      <c r="V88" s="76"/>
    </row>
    <row r="89" spans="1:22" ht="33.75" customHeight="1" thickBot="1" x14ac:dyDescent="0.3">
      <c r="A89" s="250" t="s">
        <v>208</v>
      </c>
      <c r="B89" s="250"/>
      <c r="C89" s="250"/>
      <c r="D89" s="250"/>
      <c r="E89" s="250"/>
      <c r="F89" s="250"/>
      <c r="G89" s="250"/>
      <c r="H89" s="250"/>
      <c r="I89" s="250"/>
      <c r="J89" s="251">
        <f>K87*12</f>
        <v>426076.99761163688</v>
      </c>
      <c r="K89" s="251"/>
      <c r="L89" s="251"/>
      <c r="M89" s="78"/>
      <c r="N89" s="78"/>
      <c r="O89" s="78"/>
      <c r="P89" s="78"/>
      <c r="Q89" s="78"/>
      <c r="R89" s="78"/>
      <c r="S89" s="78"/>
      <c r="T89" s="78"/>
      <c r="U89" s="78"/>
      <c r="V89" s="78"/>
    </row>
    <row r="90" spans="1:22" ht="16.5" thickBot="1" x14ac:dyDescent="0.3">
      <c r="A90" s="117"/>
      <c r="B90" s="82"/>
      <c r="C90" s="82"/>
      <c r="D90" s="194"/>
      <c r="E90" s="194"/>
      <c r="F90" s="82"/>
      <c r="G90" s="82"/>
      <c r="H90" s="252"/>
      <c r="I90" s="252"/>
      <c r="J90" s="82"/>
      <c r="K90" s="82"/>
      <c r="L90" s="101"/>
      <c r="M90" s="101"/>
      <c r="N90" s="234"/>
      <c r="O90" s="234"/>
      <c r="P90" s="234"/>
      <c r="Q90" s="234"/>
      <c r="R90" s="234"/>
      <c r="S90" s="234"/>
      <c r="T90" s="234"/>
      <c r="U90" s="234"/>
      <c r="V90" s="76"/>
    </row>
    <row r="91" spans="1:22" ht="45.75" customHeight="1" thickBot="1" x14ac:dyDescent="0.3">
      <c r="A91" s="235" t="s">
        <v>209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83"/>
      <c r="N91" s="193"/>
      <c r="O91" s="193"/>
      <c r="P91" s="193"/>
      <c r="Q91" s="193"/>
      <c r="R91" s="193"/>
      <c r="S91" s="193"/>
      <c r="T91" s="193"/>
      <c r="U91" s="193"/>
      <c r="V91" s="81"/>
    </row>
    <row r="92" spans="1:22" ht="16.5" thickBot="1" x14ac:dyDescent="0.3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193"/>
      <c r="N92" s="193"/>
      <c r="O92" s="193"/>
      <c r="P92" s="193"/>
      <c r="Q92" s="193"/>
      <c r="R92" s="193"/>
      <c r="S92" s="193"/>
      <c r="T92" s="193"/>
      <c r="U92" s="188"/>
      <c r="V92" s="188"/>
    </row>
    <row r="93" spans="1:22" ht="16.5" customHeight="1" thickBot="1" x14ac:dyDescent="0.3">
      <c r="A93" s="248" t="s">
        <v>210</v>
      </c>
      <c r="B93" s="248"/>
      <c r="C93" s="248"/>
      <c r="D93" s="248"/>
      <c r="E93" s="248"/>
      <c r="F93" s="248" t="s">
        <v>211</v>
      </c>
      <c r="G93" s="248"/>
      <c r="H93" s="248"/>
      <c r="I93" s="248"/>
      <c r="J93" s="248"/>
      <c r="K93" s="248"/>
      <c r="L93" s="248"/>
      <c r="M93" s="204"/>
      <c r="N93" s="204"/>
      <c r="O93" s="193"/>
      <c r="P93" s="193"/>
      <c r="Q93" s="193"/>
      <c r="R93" s="193"/>
      <c r="S93" s="193"/>
      <c r="T93" s="193"/>
      <c r="U93" s="188"/>
      <c r="V93" s="188"/>
    </row>
    <row r="94" spans="1:22" ht="16.5" customHeight="1" thickBot="1" x14ac:dyDescent="0.3">
      <c r="A94" s="253" t="s">
        <v>212</v>
      </c>
      <c r="B94" s="253"/>
      <c r="C94" s="253"/>
      <c r="D94" s="253"/>
      <c r="E94" s="253"/>
      <c r="F94" s="241">
        <v>7</v>
      </c>
      <c r="G94" s="241"/>
      <c r="H94" s="241"/>
      <c r="I94" s="241"/>
      <c r="J94" s="241"/>
      <c r="K94" s="241"/>
      <c r="L94" s="241"/>
      <c r="M94" s="118"/>
      <c r="N94" s="119"/>
      <c r="O94" s="83"/>
      <c r="P94" s="83"/>
      <c r="Q94" s="83"/>
      <c r="R94" s="83"/>
      <c r="S94" s="83"/>
      <c r="T94" s="83"/>
      <c r="U94" s="81"/>
      <c r="V94" s="81"/>
    </row>
    <row r="95" spans="1:22" ht="15.75" x14ac:dyDescent="0.25">
      <c r="A95" s="79"/>
      <c r="B95" s="80"/>
      <c r="C95" s="80"/>
      <c r="D95" s="194"/>
      <c r="E95" s="194"/>
      <c r="F95" s="80"/>
      <c r="G95" s="80"/>
      <c r="H95" s="80"/>
      <c r="I95" s="194"/>
      <c r="J95" s="194"/>
      <c r="K95" s="80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81"/>
    </row>
    <row r="96" spans="1:22" ht="31.5" customHeight="1" x14ac:dyDescent="0.25">
      <c r="A96" s="2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83"/>
      <c r="N96" s="83"/>
      <c r="O96" s="83"/>
      <c r="P96" s="83"/>
      <c r="Q96" s="83"/>
      <c r="R96" s="83"/>
      <c r="S96" s="83"/>
      <c r="T96" s="83"/>
      <c r="U96" s="83"/>
      <c r="V96" s="81"/>
    </row>
    <row r="97" spans="1:22" ht="15.75" x14ac:dyDescent="0.25">
      <c r="A97" s="79"/>
      <c r="B97" s="80"/>
      <c r="C97" s="80"/>
      <c r="D97" s="82"/>
      <c r="E97" s="82"/>
      <c r="F97" s="80"/>
      <c r="G97" s="80"/>
      <c r="H97" s="80"/>
      <c r="I97" s="82"/>
      <c r="J97" s="82"/>
      <c r="K97" s="80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1"/>
    </row>
    <row r="98" spans="1:22" ht="41.25" customHeight="1" x14ac:dyDescent="0.25">
      <c r="A98" s="255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83"/>
      <c r="N98" s="83"/>
      <c r="O98" s="83"/>
      <c r="P98" s="83"/>
      <c r="Q98" s="83"/>
      <c r="R98" s="83"/>
      <c r="S98" s="83"/>
      <c r="T98" s="83"/>
      <c r="U98" s="83"/>
      <c r="V98" s="81"/>
    </row>
    <row r="99" spans="1:2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2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22" x14ac:dyDescent="0.25">
      <c r="A101" s="120"/>
      <c r="B101" s="120"/>
      <c r="C101" s="120"/>
      <c r="D101" s="120"/>
      <c r="E101"/>
      <c r="F101"/>
      <c r="G101"/>
      <c r="H101"/>
      <c r="I101"/>
      <c r="J101"/>
      <c r="K101"/>
      <c r="L101"/>
    </row>
    <row r="102" spans="1:22" ht="22.5" customHeight="1" x14ac:dyDescent="0.25">
      <c r="A102" s="254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</row>
  </sheetData>
  <mergeCells count="709">
    <mergeCell ref="T95:U95"/>
    <mergeCell ref="A96:L96"/>
    <mergeCell ref="A98:L98"/>
    <mergeCell ref="A94:E94"/>
    <mergeCell ref="F94:L94"/>
    <mergeCell ref="A102:L102"/>
    <mergeCell ref="D95:E95"/>
    <mergeCell ref="I95:J95"/>
    <mergeCell ref="L95:M95"/>
    <mergeCell ref="N95:O95"/>
    <mergeCell ref="P95:Q95"/>
    <mergeCell ref="R95:S95"/>
    <mergeCell ref="A92:L92"/>
    <mergeCell ref="M92:N92"/>
    <mergeCell ref="O92:P92"/>
    <mergeCell ref="Q92:R92"/>
    <mergeCell ref="S92:T92"/>
    <mergeCell ref="U92:V92"/>
    <mergeCell ref="A93:E93"/>
    <mergeCell ref="F93:L93"/>
    <mergeCell ref="M93:N93"/>
    <mergeCell ref="O93:P93"/>
    <mergeCell ref="Q93:R93"/>
    <mergeCell ref="S93:T93"/>
    <mergeCell ref="U93:V93"/>
    <mergeCell ref="A89:I89"/>
    <mergeCell ref="J89:L89"/>
    <mergeCell ref="D90:E90"/>
    <mergeCell ref="H90:I90"/>
    <mergeCell ref="N90:O90"/>
    <mergeCell ref="P90:Q90"/>
    <mergeCell ref="R90:S90"/>
    <mergeCell ref="T90:U90"/>
    <mergeCell ref="A91:L91"/>
    <mergeCell ref="N91:O91"/>
    <mergeCell ref="P91:Q91"/>
    <mergeCell ref="R91:S91"/>
    <mergeCell ref="T91:U91"/>
    <mergeCell ref="A87:G87"/>
    <mergeCell ref="H87:J87"/>
    <mergeCell ref="K87:L87"/>
    <mergeCell ref="M87:N87"/>
    <mergeCell ref="O87:P87"/>
    <mergeCell ref="Q87:R87"/>
    <mergeCell ref="S87:T87"/>
    <mergeCell ref="U87:V87"/>
    <mergeCell ref="N88:O88"/>
    <mergeCell ref="P88:Q88"/>
    <mergeCell ref="R88:S88"/>
    <mergeCell ref="T88:U88"/>
    <mergeCell ref="A85:G85"/>
    <mergeCell ref="H85:J85"/>
    <mergeCell ref="K85:L85"/>
    <mergeCell ref="M85:N85"/>
    <mergeCell ref="O85:P85"/>
    <mergeCell ref="Q85:R85"/>
    <mergeCell ref="S85:T85"/>
    <mergeCell ref="U85:V85"/>
    <mergeCell ref="D86:E86"/>
    <mergeCell ref="H86:I86"/>
    <mergeCell ref="K86:L86"/>
    <mergeCell ref="M86:N86"/>
    <mergeCell ref="O86:P86"/>
    <mergeCell ref="Q86:R86"/>
    <mergeCell ref="S86:T86"/>
    <mergeCell ref="U86:V86"/>
    <mergeCell ref="A84:E84"/>
    <mergeCell ref="F84:G84"/>
    <mergeCell ref="H84:J84"/>
    <mergeCell ref="K84:L84"/>
    <mergeCell ref="M84:N84"/>
    <mergeCell ref="O84:P84"/>
    <mergeCell ref="Q84:R84"/>
    <mergeCell ref="S84:T84"/>
    <mergeCell ref="U84:V84"/>
    <mergeCell ref="A83:E83"/>
    <mergeCell ref="F83:G83"/>
    <mergeCell ref="H83:J83"/>
    <mergeCell ref="K83:L83"/>
    <mergeCell ref="M83:N83"/>
    <mergeCell ref="O83:P83"/>
    <mergeCell ref="Q83:R83"/>
    <mergeCell ref="S83:T83"/>
    <mergeCell ref="U83:V83"/>
    <mergeCell ref="A82:E82"/>
    <mergeCell ref="F82:G82"/>
    <mergeCell ref="H82:J82"/>
    <mergeCell ref="K82:L82"/>
    <mergeCell ref="M82:N82"/>
    <mergeCell ref="O82:P82"/>
    <mergeCell ref="Q82:R82"/>
    <mergeCell ref="S82:T82"/>
    <mergeCell ref="U82:V82"/>
    <mergeCell ref="A79:G79"/>
    <mergeCell ref="H79:J79"/>
    <mergeCell ref="K79:L79"/>
    <mergeCell ref="M79:N79"/>
    <mergeCell ref="O79:P79"/>
    <mergeCell ref="Q79:R79"/>
    <mergeCell ref="S79:T79"/>
    <mergeCell ref="U79:V79"/>
    <mergeCell ref="D81:E81"/>
    <mergeCell ref="H81:I81"/>
    <mergeCell ref="K81:L81"/>
    <mergeCell ref="M81:N81"/>
    <mergeCell ref="O81:P81"/>
    <mergeCell ref="Q81:R81"/>
    <mergeCell ref="S81:T81"/>
    <mergeCell ref="U81:V81"/>
    <mergeCell ref="A78:E78"/>
    <mergeCell ref="F78:G78"/>
    <mergeCell ref="H78:J78"/>
    <mergeCell ref="K78:L78"/>
    <mergeCell ref="M78:N78"/>
    <mergeCell ref="O78:P78"/>
    <mergeCell ref="Q78:R78"/>
    <mergeCell ref="S78:T78"/>
    <mergeCell ref="U78:V78"/>
    <mergeCell ref="A76:E76"/>
    <mergeCell ref="F76:G76"/>
    <mergeCell ref="H77:J77"/>
    <mergeCell ref="K76:L76"/>
    <mergeCell ref="M76:N76"/>
    <mergeCell ref="O76:P76"/>
    <mergeCell ref="Q76:R76"/>
    <mergeCell ref="S76:T76"/>
    <mergeCell ref="U76:V76"/>
    <mergeCell ref="A77:E77"/>
    <mergeCell ref="F77:G77"/>
    <mergeCell ref="K77:L77"/>
    <mergeCell ref="M77:N77"/>
    <mergeCell ref="O77:P77"/>
    <mergeCell ref="Q77:R77"/>
    <mergeCell ref="S77:T77"/>
    <mergeCell ref="U77:V77"/>
    <mergeCell ref="A75:E75"/>
    <mergeCell ref="F75:G75"/>
    <mergeCell ref="H75:J75"/>
    <mergeCell ref="K75:L75"/>
    <mergeCell ref="M75:N75"/>
    <mergeCell ref="O75:P75"/>
    <mergeCell ref="Q75:R75"/>
    <mergeCell ref="S75:T75"/>
    <mergeCell ref="U75:V75"/>
    <mergeCell ref="A74:E74"/>
    <mergeCell ref="F74:G74"/>
    <mergeCell ref="H74:J74"/>
    <mergeCell ref="K74:L74"/>
    <mergeCell ref="M74:N74"/>
    <mergeCell ref="O74:P74"/>
    <mergeCell ref="Q74:R74"/>
    <mergeCell ref="S74:T74"/>
    <mergeCell ref="U74:V74"/>
    <mergeCell ref="A71:G71"/>
    <mergeCell ref="H71:J71"/>
    <mergeCell ref="K71:L71"/>
    <mergeCell ref="M71:N71"/>
    <mergeCell ref="O71:P71"/>
    <mergeCell ref="Q71:R71"/>
    <mergeCell ref="S71:T71"/>
    <mergeCell ref="U71:V71"/>
    <mergeCell ref="D73:E73"/>
    <mergeCell ref="H73:I73"/>
    <mergeCell ref="K73:L73"/>
    <mergeCell ref="M73:N73"/>
    <mergeCell ref="O73:P73"/>
    <mergeCell ref="Q73:R73"/>
    <mergeCell ref="S73:T73"/>
    <mergeCell ref="U73:V73"/>
    <mergeCell ref="A70:E70"/>
    <mergeCell ref="F70:G70"/>
    <mergeCell ref="H70:J70"/>
    <mergeCell ref="K70:L70"/>
    <mergeCell ref="M70:N70"/>
    <mergeCell ref="O70:P70"/>
    <mergeCell ref="Q70:R70"/>
    <mergeCell ref="S70:T70"/>
    <mergeCell ref="U70:V70"/>
    <mergeCell ref="A69:E69"/>
    <mergeCell ref="F69:G69"/>
    <mergeCell ref="H69:J69"/>
    <mergeCell ref="K69:L69"/>
    <mergeCell ref="M69:N69"/>
    <mergeCell ref="O69:P69"/>
    <mergeCell ref="Q69:R69"/>
    <mergeCell ref="S69:T69"/>
    <mergeCell ref="U69:V69"/>
    <mergeCell ref="A68:E68"/>
    <mergeCell ref="F68:G68"/>
    <mergeCell ref="H68:J68"/>
    <mergeCell ref="K68:L68"/>
    <mergeCell ref="M68:N68"/>
    <mergeCell ref="O68:P68"/>
    <mergeCell ref="Q68:R68"/>
    <mergeCell ref="S68:T68"/>
    <mergeCell ref="U68:V68"/>
    <mergeCell ref="O66:P66"/>
    <mergeCell ref="Q66:R66"/>
    <mergeCell ref="S66:T66"/>
    <mergeCell ref="U66:V66"/>
    <mergeCell ref="A67:E67"/>
    <mergeCell ref="F67:G67"/>
    <mergeCell ref="H67:J67"/>
    <mergeCell ref="K67:L67"/>
    <mergeCell ref="M67:N67"/>
    <mergeCell ref="O67:P67"/>
    <mergeCell ref="Q67:R67"/>
    <mergeCell ref="S67:T67"/>
    <mergeCell ref="U67:V67"/>
    <mergeCell ref="A65:E65"/>
    <mergeCell ref="F65:G65"/>
    <mergeCell ref="H65:J65"/>
    <mergeCell ref="K65:L65"/>
    <mergeCell ref="A66:E66"/>
    <mergeCell ref="F66:G66"/>
    <mergeCell ref="H66:J66"/>
    <mergeCell ref="K66:L66"/>
    <mergeCell ref="M66:N66"/>
    <mergeCell ref="A64:E64"/>
    <mergeCell ref="F64:G64"/>
    <mergeCell ref="H64:J64"/>
    <mergeCell ref="K64:L64"/>
    <mergeCell ref="M64:N64"/>
    <mergeCell ref="O64:P64"/>
    <mergeCell ref="Q64:R64"/>
    <mergeCell ref="S64:T64"/>
    <mergeCell ref="U64:V64"/>
    <mergeCell ref="A62:L62"/>
    <mergeCell ref="N62:O62"/>
    <mergeCell ref="P62:Q62"/>
    <mergeCell ref="R62:S62"/>
    <mergeCell ref="T62:U62"/>
    <mergeCell ref="A63:E63"/>
    <mergeCell ref="F63:G63"/>
    <mergeCell ref="H63:J63"/>
    <mergeCell ref="K63:L63"/>
    <mergeCell ref="M63:N63"/>
    <mergeCell ref="O63:P63"/>
    <mergeCell ref="Q63:R63"/>
    <mergeCell ref="S63:T63"/>
    <mergeCell ref="U63:V63"/>
    <mergeCell ref="U60:V60"/>
    <mergeCell ref="A61:H61"/>
    <mergeCell ref="I61:J61"/>
    <mergeCell ref="K61:L61"/>
    <mergeCell ref="M61:N61"/>
    <mergeCell ref="O61:P61"/>
    <mergeCell ref="Q61:R61"/>
    <mergeCell ref="S61:T61"/>
    <mergeCell ref="U61:V61"/>
    <mergeCell ref="A60:B60"/>
    <mergeCell ref="C60:D60"/>
    <mergeCell ref="G60:H60"/>
    <mergeCell ref="I60:J60"/>
    <mergeCell ref="K60:L60"/>
    <mergeCell ref="M60:N60"/>
    <mergeCell ref="O60:P60"/>
    <mergeCell ref="Q60:R60"/>
    <mergeCell ref="S60:T60"/>
    <mergeCell ref="U58:V58"/>
    <mergeCell ref="A59:B59"/>
    <mergeCell ref="C59:D59"/>
    <mergeCell ref="G59:H59"/>
    <mergeCell ref="I59:J59"/>
    <mergeCell ref="K59:L59"/>
    <mergeCell ref="M59:N59"/>
    <mergeCell ref="O59:P59"/>
    <mergeCell ref="Q59:R59"/>
    <mergeCell ref="S59:T59"/>
    <mergeCell ref="U59:V59"/>
    <mergeCell ref="A58:B58"/>
    <mergeCell ref="C58:D58"/>
    <mergeCell ref="G58:H58"/>
    <mergeCell ref="I58:J58"/>
    <mergeCell ref="K58:L58"/>
    <mergeCell ref="M58:N58"/>
    <mergeCell ref="O58:P58"/>
    <mergeCell ref="Q58:R58"/>
    <mergeCell ref="S58:T58"/>
    <mergeCell ref="A56:H56"/>
    <mergeCell ref="I56:J56"/>
    <mergeCell ref="K56:L56"/>
    <mergeCell ref="M56:N56"/>
    <mergeCell ref="O56:P56"/>
    <mergeCell ref="Q56:R56"/>
    <mergeCell ref="S56:T56"/>
    <mergeCell ref="U56:V56"/>
    <mergeCell ref="D57:E57"/>
    <mergeCell ref="I57:J57"/>
    <mergeCell ref="K57:L57"/>
    <mergeCell ref="M57:N57"/>
    <mergeCell ref="O57:P57"/>
    <mergeCell ref="Q57:R57"/>
    <mergeCell ref="S57:T57"/>
    <mergeCell ref="U57:V57"/>
    <mergeCell ref="U54:V54"/>
    <mergeCell ref="A55:B55"/>
    <mergeCell ref="G55:H55"/>
    <mergeCell ref="I55:J55"/>
    <mergeCell ref="K55:L55"/>
    <mergeCell ref="M55:N55"/>
    <mergeCell ref="O55:P55"/>
    <mergeCell ref="Q55:R55"/>
    <mergeCell ref="S55:T55"/>
    <mergeCell ref="U55:V55"/>
    <mergeCell ref="A54:B54"/>
    <mergeCell ref="C55:D55"/>
    <mergeCell ref="G54:H54"/>
    <mergeCell ref="I54:J54"/>
    <mergeCell ref="K54:L54"/>
    <mergeCell ref="M54:N54"/>
    <mergeCell ref="O54:P54"/>
    <mergeCell ref="Q54:R54"/>
    <mergeCell ref="S54:T54"/>
    <mergeCell ref="A52:H52"/>
    <mergeCell ref="I52:J52"/>
    <mergeCell ref="K52:L52"/>
    <mergeCell ref="M52:N52"/>
    <mergeCell ref="O52:P52"/>
    <mergeCell ref="Q52:R52"/>
    <mergeCell ref="S52:T52"/>
    <mergeCell ref="U52:V52"/>
    <mergeCell ref="D53:E53"/>
    <mergeCell ref="I53:J53"/>
    <mergeCell ref="K53:L53"/>
    <mergeCell ref="M53:N53"/>
    <mergeCell ref="O53:P53"/>
    <mergeCell ref="Q53:R53"/>
    <mergeCell ref="S53:T53"/>
    <mergeCell ref="U53:V53"/>
    <mergeCell ref="U50:V50"/>
    <mergeCell ref="A51:B51"/>
    <mergeCell ref="C51:D51"/>
    <mergeCell ref="G51:H51"/>
    <mergeCell ref="I51:J51"/>
    <mergeCell ref="K51:L51"/>
    <mergeCell ref="M51:N51"/>
    <mergeCell ref="O51:P51"/>
    <mergeCell ref="Q51:R51"/>
    <mergeCell ref="S51:T51"/>
    <mergeCell ref="U51:V51"/>
    <mergeCell ref="A50:B50"/>
    <mergeCell ref="C50:D50"/>
    <mergeCell ref="G50:H50"/>
    <mergeCell ref="I50:J50"/>
    <mergeCell ref="K50:L50"/>
    <mergeCell ref="M50:N50"/>
    <mergeCell ref="O50:P50"/>
    <mergeCell ref="Q50:R50"/>
    <mergeCell ref="S50:T50"/>
    <mergeCell ref="A48:H48"/>
    <mergeCell ref="I48:J48"/>
    <mergeCell ref="K48:L48"/>
    <mergeCell ref="M48:N48"/>
    <mergeCell ref="O48:P48"/>
    <mergeCell ref="Q48:R48"/>
    <mergeCell ref="S48:T48"/>
    <mergeCell ref="U48:V48"/>
    <mergeCell ref="D49:E49"/>
    <mergeCell ref="I49:J49"/>
    <mergeCell ref="K49:L49"/>
    <mergeCell ref="M49:N49"/>
    <mergeCell ref="O49:P49"/>
    <mergeCell ref="Q49:R49"/>
    <mergeCell ref="S49:T49"/>
    <mergeCell ref="U49:V49"/>
    <mergeCell ref="U46:V46"/>
    <mergeCell ref="A47:B47"/>
    <mergeCell ref="C47:D47"/>
    <mergeCell ref="G47:H47"/>
    <mergeCell ref="I47:J47"/>
    <mergeCell ref="K47:L47"/>
    <mergeCell ref="M47:N47"/>
    <mergeCell ref="O47:P47"/>
    <mergeCell ref="Q47:R47"/>
    <mergeCell ref="S47:T47"/>
    <mergeCell ref="U47:V47"/>
    <mergeCell ref="A46:B46"/>
    <mergeCell ref="C46:D46"/>
    <mergeCell ref="G46:H46"/>
    <mergeCell ref="I46:J46"/>
    <mergeCell ref="K46:L46"/>
    <mergeCell ref="M46:N46"/>
    <mergeCell ref="O46:P46"/>
    <mergeCell ref="Q46:R46"/>
    <mergeCell ref="S46:T46"/>
    <mergeCell ref="D44:E44"/>
    <mergeCell ref="I44:J44"/>
    <mergeCell ref="L44:M44"/>
    <mergeCell ref="N44:O44"/>
    <mergeCell ref="P44:Q44"/>
    <mergeCell ref="R44:S44"/>
    <mergeCell ref="T44:U44"/>
    <mergeCell ref="A45:B45"/>
    <mergeCell ref="C45:D45"/>
    <mergeCell ref="G45:H45"/>
    <mergeCell ref="I45:J45"/>
    <mergeCell ref="K45:L45"/>
    <mergeCell ref="M45:N45"/>
    <mergeCell ref="O45:P45"/>
    <mergeCell ref="Q45:R45"/>
    <mergeCell ref="S45:T45"/>
    <mergeCell ref="U45:V45"/>
    <mergeCell ref="A42:H42"/>
    <mergeCell ref="I42:L42"/>
    <mergeCell ref="M42:N42"/>
    <mergeCell ref="O42:P42"/>
    <mergeCell ref="Q42:R42"/>
    <mergeCell ref="S42:T42"/>
    <mergeCell ref="U42:V42"/>
    <mergeCell ref="A43:L43"/>
    <mergeCell ref="N43:O43"/>
    <mergeCell ref="P43:Q43"/>
    <mergeCell ref="R43:S43"/>
    <mergeCell ref="T43:U43"/>
    <mergeCell ref="A41:C41"/>
    <mergeCell ref="D41:F41"/>
    <mergeCell ref="G41:H41"/>
    <mergeCell ref="I41:L41"/>
    <mergeCell ref="M41:N41"/>
    <mergeCell ref="O41:P41"/>
    <mergeCell ref="Q41:R41"/>
    <mergeCell ref="S41:T41"/>
    <mergeCell ref="U41:V41"/>
    <mergeCell ref="A40:C40"/>
    <mergeCell ref="D40:F40"/>
    <mergeCell ref="G40:H40"/>
    <mergeCell ref="I40:L40"/>
    <mergeCell ref="M40:N40"/>
    <mergeCell ref="O40:P40"/>
    <mergeCell ref="Q40:R40"/>
    <mergeCell ref="S40:T40"/>
    <mergeCell ref="U40:V40"/>
    <mergeCell ref="A38:H38"/>
    <mergeCell ref="I38:L38"/>
    <mergeCell ref="M38:N38"/>
    <mergeCell ref="O38:P38"/>
    <mergeCell ref="Q38:R38"/>
    <mergeCell ref="S38:T38"/>
    <mergeCell ref="U38:V38"/>
    <mergeCell ref="D39:E39"/>
    <mergeCell ref="I39:J39"/>
    <mergeCell ref="K39:L39"/>
    <mergeCell ref="M39:N39"/>
    <mergeCell ref="O39:P39"/>
    <mergeCell ref="Q39:R39"/>
    <mergeCell ref="S39:T39"/>
    <mergeCell ref="U39:V39"/>
    <mergeCell ref="A37:C37"/>
    <mergeCell ref="D37:F37"/>
    <mergeCell ref="G37:H37"/>
    <mergeCell ref="I37:L37"/>
    <mergeCell ref="M37:N37"/>
    <mergeCell ref="O37:P37"/>
    <mergeCell ref="Q37:R37"/>
    <mergeCell ref="S37:T37"/>
    <mergeCell ref="U37:V37"/>
    <mergeCell ref="A36:C36"/>
    <mergeCell ref="D36:F36"/>
    <mergeCell ref="G36:H36"/>
    <mergeCell ref="I36:L36"/>
    <mergeCell ref="M36:N36"/>
    <mergeCell ref="O36:P36"/>
    <mergeCell ref="Q36:R36"/>
    <mergeCell ref="S36:T36"/>
    <mergeCell ref="U36:V36"/>
    <mergeCell ref="A34:L34"/>
    <mergeCell ref="N34:O34"/>
    <mergeCell ref="P34:Q34"/>
    <mergeCell ref="R34:S34"/>
    <mergeCell ref="T34:U34"/>
    <mergeCell ref="A35:C35"/>
    <mergeCell ref="D35:F35"/>
    <mergeCell ref="G35:H35"/>
    <mergeCell ref="I35:L35"/>
    <mergeCell ref="N35:O35"/>
    <mergeCell ref="P35:Q35"/>
    <mergeCell ref="R35:S35"/>
    <mergeCell ref="T35:U35"/>
    <mergeCell ref="A32:H32"/>
    <mergeCell ref="I32:L32"/>
    <mergeCell ref="M32:N32"/>
    <mergeCell ref="O32:P32"/>
    <mergeCell ref="Q32:R32"/>
    <mergeCell ref="S32:T32"/>
    <mergeCell ref="U32:V32"/>
    <mergeCell ref="D33:E33"/>
    <mergeCell ref="I33:J33"/>
    <mergeCell ref="K33:L33"/>
    <mergeCell ref="M33:N33"/>
    <mergeCell ref="O33:P33"/>
    <mergeCell ref="Q33:R33"/>
    <mergeCell ref="S33:T33"/>
    <mergeCell ref="U33:V33"/>
    <mergeCell ref="A31:C31"/>
    <mergeCell ref="D31:F31"/>
    <mergeCell ref="G31:H31"/>
    <mergeCell ref="I31:L31"/>
    <mergeCell ref="M31:N31"/>
    <mergeCell ref="O31:P31"/>
    <mergeCell ref="Q31:R31"/>
    <mergeCell ref="S31:T31"/>
    <mergeCell ref="U31:V31"/>
    <mergeCell ref="A30:C30"/>
    <mergeCell ref="D30:F30"/>
    <mergeCell ref="G30:H30"/>
    <mergeCell ref="I30:L30"/>
    <mergeCell ref="M30:N30"/>
    <mergeCell ref="O30:P30"/>
    <mergeCell ref="Q30:R30"/>
    <mergeCell ref="S30:T30"/>
    <mergeCell ref="U30:V30"/>
    <mergeCell ref="A28:H28"/>
    <mergeCell ref="I28:L28"/>
    <mergeCell ref="M28:N28"/>
    <mergeCell ref="O28:P28"/>
    <mergeCell ref="Q28:R28"/>
    <mergeCell ref="S28:T28"/>
    <mergeCell ref="U28:V28"/>
    <mergeCell ref="A29:C29"/>
    <mergeCell ref="D29:F29"/>
    <mergeCell ref="G29:H29"/>
    <mergeCell ref="I29:L29"/>
    <mergeCell ref="N29:O29"/>
    <mergeCell ref="P29:Q29"/>
    <mergeCell ref="R29:S29"/>
    <mergeCell ref="T29:U29"/>
    <mergeCell ref="A27:C27"/>
    <mergeCell ref="D27:F27"/>
    <mergeCell ref="G27:H27"/>
    <mergeCell ref="I27:L27"/>
    <mergeCell ref="M27:N27"/>
    <mergeCell ref="O27:P27"/>
    <mergeCell ref="Q27:R27"/>
    <mergeCell ref="S27:T27"/>
    <mergeCell ref="U27:V27"/>
    <mergeCell ref="A25:H25"/>
    <mergeCell ref="I25:L25"/>
    <mergeCell ref="M25:N25"/>
    <mergeCell ref="O25:P25"/>
    <mergeCell ref="Q25:R25"/>
    <mergeCell ref="S25:T25"/>
    <mergeCell ref="U25:V25"/>
    <mergeCell ref="D26:E26"/>
    <mergeCell ref="I26:J26"/>
    <mergeCell ref="K26:L26"/>
    <mergeCell ref="M26:N26"/>
    <mergeCell ref="O26:P26"/>
    <mergeCell ref="Q26:R26"/>
    <mergeCell ref="S26:T26"/>
    <mergeCell ref="U26:V26"/>
    <mergeCell ref="A24:C24"/>
    <mergeCell ref="D24:E24"/>
    <mergeCell ref="G24:H24"/>
    <mergeCell ref="I24:L24"/>
    <mergeCell ref="M24:N24"/>
    <mergeCell ref="O24:P24"/>
    <mergeCell ref="Q24:R24"/>
    <mergeCell ref="S24:T24"/>
    <mergeCell ref="U24:V24"/>
    <mergeCell ref="A22:H22"/>
    <mergeCell ref="I22:L22"/>
    <mergeCell ref="M22:N22"/>
    <mergeCell ref="O22:P22"/>
    <mergeCell ref="Q22:R22"/>
    <mergeCell ref="S22:T22"/>
    <mergeCell ref="U22:V22"/>
    <mergeCell ref="D23:E23"/>
    <mergeCell ref="I23:J23"/>
    <mergeCell ref="K23:L23"/>
    <mergeCell ref="M23:N23"/>
    <mergeCell ref="O23:P23"/>
    <mergeCell ref="Q23:R23"/>
    <mergeCell ref="S23:T23"/>
    <mergeCell ref="U23:V23"/>
    <mergeCell ref="A21:C21"/>
    <mergeCell ref="D21:F21"/>
    <mergeCell ref="G21:H21"/>
    <mergeCell ref="I21:L21"/>
    <mergeCell ref="M21:N21"/>
    <mergeCell ref="O21:P21"/>
    <mergeCell ref="Q21:R21"/>
    <mergeCell ref="S21:T21"/>
    <mergeCell ref="U21:V21"/>
    <mergeCell ref="A20:C20"/>
    <mergeCell ref="D20:F20"/>
    <mergeCell ref="G20:H20"/>
    <mergeCell ref="I20:L20"/>
    <mergeCell ref="M20:N20"/>
    <mergeCell ref="O20:P20"/>
    <mergeCell ref="Q20:R20"/>
    <mergeCell ref="S20:T20"/>
    <mergeCell ref="U20:V20"/>
    <mergeCell ref="A18:H18"/>
    <mergeCell ref="I18:L18"/>
    <mergeCell ref="M18:N18"/>
    <mergeCell ref="O18:P18"/>
    <mergeCell ref="Q18:R18"/>
    <mergeCell ref="S18:T18"/>
    <mergeCell ref="U18:V18"/>
    <mergeCell ref="D19:E19"/>
    <mergeCell ref="I19:J19"/>
    <mergeCell ref="K19:L19"/>
    <mergeCell ref="M19:N19"/>
    <mergeCell ref="O19:P19"/>
    <mergeCell ref="Q19:R19"/>
    <mergeCell ref="S19:T19"/>
    <mergeCell ref="U19:V19"/>
    <mergeCell ref="A17:C17"/>
    <mergeCell ref="D17:F17"/>
    <mergeCell ref="G17:H17"/>
    <mergeCell ref="I17:L17"/>
    <mergeCell ref="M17:N17"/>
    <mergeCell ref="O17:P17"/>
    <mergeCell ref="Q17:R17"/>
    <mergeCell ref="S17:T17"/>
    <mergeCell ref="U17:V17"/>
    <mergeCell ref="A15:H15"/>
    <mergeCell ref="I15:L15"/>
    <mergeCell ref="M15:N15"/>
    <mergeCell ref="O15:P15"/>
    <mergeCell ref="Q15:R15"/>
    <mergeCell ref="S15:T15"/>
    <mergeCell ref="U15:V15"/>
    <mergeCell ref="A16:C16"/>
    <mergeCell ref="D16:F16"/>
    <mergeCell ref="G16:H16"/>
    <mergeCell ref="I16:L16"/>
    <mergeCell ref="N16:O16"/>
    <mergeCell ref="P16:Q16"/>
    <mergeCell ref="R16:S16"/>
    <mergeCell ref="T16:U16"/>
    <mergeCell ref="A14:C14"/>
    <mergeCell ref="D14:F14"/>
    <mergeCell ref="G14:H14"/>
    <mergeCell ref="I14:L14"/>
    <mergeCell ref="M14:N14"/>
    <mergeCell ref="O14:P14"/>
    <mergeCell ref="Q14:R14"/>
    <mergeCell ref="S14:T14"/>
    <mergeCell ref="U14:V14"/>
    <mergeCell ref="A11:H11"/>
    <mergeCell ref="I11:L11"/>
    <mergeCell ref="M11:N11"/>
    <mergeCell ref="O11:P11"/>
    <mergeCell ref="Q11:R11"/>
    <mergeCell ref="S11:T11"/>
    <mergeCell ref="U11:V11"/>
    <mergeCell ref="A13:C13"/>
    <mergeCell ref="D13:F13"/>
    <mergeCell ref="G13:H13"/>
    <mergeCell ref="I13:L13"/>
    <mergeCell ref="N13:O13"/>
    <mergeCell ref="P13:Q13"/>
    <mergeCell ref="R13:S13"/>
    <mergeCell ref="T13:U13"/>
    <mergeCell ref="A10:C10"/>
    <mergeCell ref="D10:F10"/>
    <mergeCell ref="G10:H10"/>
    <mergeCell ref="I10:L10"/>
    <mergeCell ref="M10:N10"/>
    <mergeCell ref="O10:P10"/>
    <mergeCell ref="Q10:R10"/>
    <mergeCell ref="S10:T10"/>
    <mergeCell ref="U10:V10"/>
    <mergeCell ref="A9:C9"/>
    <mergeCell ref="D9:F9"/>
    <mergeCell ref="G9:H9"/>
    <mergeCell ref="I9:L9"/>
    <mergeCell ref="N9:O9"/>
    <mergeCell ref="P9:Q9"/>
    <mergeCell ref="R9:S9"/>
    <mergeCell ref="T9:U9"/>
    <mergeCell ref="A7:E7"/>
    <mergeCell ref="I7:J7"/>
    <mergeCell ref="L7:M7"/>
    <mergeCell ref="N7:O7"/>
    <mergeCell ref="P7:Q7"/>
    <mergeCell ref="R7:S7"/>
    <mergeCell ref="T7:U7"/>
    <mergeCell ref="A8:L8"/>
    <mergeCell ref="N8:O8"/>
    <mergeCell ref="P8:Q8"/>
    <mergeCell ref="R8:S8"/>
    <mergeCell ref="T8:U8"/>
    <mergeCell ref="A5:H5"/>
    <mergeCell ref="I5:J5"/>
    <mergeCell ref="K5:L5"/>
    <mergeCell ref="M5:N5"/>
    <mergeCell ref="O5:P5"/>
    <mergeCell ref="Q5:R5"/>
    <mergeCell ref="S5:T5"/>
    <mergeCell ref="U5:V5"/>
    <mergeCell ref="D6:E6"/>
    <mergeCell ref="I6:J6"/>
    <mergeCell ref="L6:M6"/>
    <mergeCell ref="N6:O6"/>
    <mergeCell ref="P6:Q6"/>
    <mergeCell ref="R6:S6"/>
    <mergeCell ref="T6:U6"/>
    <mergeCell ref="A1:I1"/>
    <mergeCell ref="A2:I2"/>
    <mergeCell ref="A3:L3"/>
    <mergeCell ref="A4:L4"/>
    <mergeCell ref="M4:N4"/>
    <mergeCell ref="O4:P4"/>
    <mergeCell ref="Q4:R4"/>
    <mergeCell ref="S4:T4"/>
    <mergeCell ref="U4:V4"/>
  </mergeCells>
  <pageMargins left="0.51180555555555496" right="0.51180555555555496" top="0.78749999999999998" bottom="0.78749999999999998" header="0.51180555555555496" footer="0.51180555555555496"/>
  <pageSetup paperSize="9" scale="79" firstPageNumber="0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Normal="100" workbookViewId="0">
      <selection activeCell="A9" sqref="A9"/>
    </sheetView>
  </sheetViews>
  <sheetFormatPr defaultRowHeight="15" x14ac:dyDescent="0.25"/>
  <cols>
    <col min="1" max="1" width="0.140625" customWidth="1"/>
    <col min="2" max="2" width="15.28515625"/>
    <col min="3" max="3" width="43.42578125"/>
    <col min="5" max="5" width="18.7109375"/>
    <col min="6" max="6" width="13.7109375"/>
    <col min="7" max="7" width="17.7109375"/>
  </cols>
  <sheetData>
    <row r="1" spans="1:10" ht="27" customHeight="1" x14ac:dyDescent="0.25">
      <c r="A1" s="261" t="s">
        <v>213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25.5" customHeight="1" x14ac:dyDescent="0.25">
      <c r="A2" s="261" t="s">
        <v>214</v>
      </c>
      <c r="B2" s="261"/>
      <c r="C2" s="261"/>
      <c r="D2" s="261"/>
      <c r="E2" s="261"/>
      <c r="F2" s="261"/>
      <c r="G2" s="261"/>
      <c r="H2" s="261"/>
      <c r="I2" s="261"/>
      <c r="J2" s="261"/>
    </row>
    <row r="3" spans="1:10" ht="30" customHeight="1" x14ac:dyDescent="0.25">
      <c r="A3" s="261" t="s">
        <v>215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0" ht="27" customHeight="1" x14ac:dyDescent="0.25">
      <c r="A4" s="262" t="s">
        <v>216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0" ht="30" customHeight="1" x14ac:dyDescent="0.25">
      <c r="A5" s="261" t="s">
        <v>217</v>
      </c>
      <c r="B5" s="261"/>
      <c r="C5" s="261"/>
      <c r="D5" s="261"/>
      <c r="E5" s="261"/>
      <c r="F5" s="261"/>
      <c r="G5" s="261"/>
      <c r="H5" s="261"/>
      <c r="I5" s="261"/>
      <c r="J5" s="261"/>
    </row>
    <row r="6" spans="1:10" ht="96.75" customHeight="1" x14ac:dyDescent="0.25">
      <c r="A6" s="263" t="s">
        <v>249</v>
      </c>
      <c r="B6" s="263"/>
      <c r="C6" s="263"/>
      <c r="D6" s="263"/>
      <c r="E6" s="263"/>
      <c r="F6" s="263"/>
      <c r="G6" s="263"/>
      <c r="H6" s="263"/>
      <c r="I6" s="263"/>
      <c r="J6" s="263"/>
    </row>
    <row r="7" spans="1:10" ht="27.75" customHeight="1" x14ac:dyDescent="0.25">
      <c r="A7" s="121"/>
      <c r="B7" s="264"/>
      <c r="C7" s="264"/>
      <c r="D7" s="265"/>
      <c r="E7" s="265"/>
      <c r="F7" s="265"/>
      <c r="G7" s="265"/>
      <c r="H7" s="265"/>
      <c r="I7" s="265"/>
      <c r="J7" s="265"/>
    </row>
    <row r="8" spans="1:10" ht="30.75" customHeight="1" x14ac:dyDescent="0.25">
      <c r="A8" s="121"/>
      <c r="B8" s="266"/>
      <c r="C8" s="266"/>
      <c r="D8" s="266"/>
      <c r="E8" s="266"/>
      <c r="F8" s="266"/>
      <c r="G8" s="266"/>
      <c r="H8" s="266"/>
      <c r="I8" s="266"/>
      <c r="J8" s="266"/>
    </row>
    <row r="9" spans="1:10" ht="22.5" customHeight="1" x14ac:dyDescent="0.25">
      <c r="A9" s="121"/>
      <c r="B9" s="122" t="s">
        <v>218</v>
      </c>
      <c r="C9" s="123"/>
      <c r="D9" s="267" t="s">
        <v>219</v>
      </c>
      <c r="E9" s="267"/>
      <c r="F9" s="267"/>
      <c r="G9" s="267"/>
      <c r="H9" s="267"/>
      <c r="I9" s="267"/>
      <c r="J9" s="267"/>
    </row>
    <row r="10" spans="1:10" ht="21" customHeight="1" x14ac:dyDescent="0.25">
      <c r="A10" s="121"/>
      <c r="B10" s="122" t="s">
        <v>220</v>
      </c>
      <c r="C10" s="123"/>
      <c r="D10" s="267" t="s">
        <v>221</v>
      </c>
      <c r="E10" s="267"/>
      <c r="F10" s="267"/>
      <c r="G10" s="267"/>
      <c r="H10" s="267"/>
      <c r="I10" s="267"/>
      <c r="J10" s="267"/>
    </row>
    <row r="11" spans="1:10" ht="22.5" customHeight="1" x14ac:dyDescent="0.25">
      <c r="A11" s="121"/>
      <c r="B11" s="124" t="s">
        <v>222</v>
      </c>
      <c r="C11" s="125"/>
      <c r="D11" s="268"/>
      <c r="E11" s="268"/>
      <c r="F11" s="268"/>
      <c r="G11" s="268"/>
      <c r="H11" s="268"/>
      <c r="I11" s="268"/>
      <c r="J11" s="268"/>
    </row>
    <row r="12" spans="1:10" ht="19.5" customHeight="1" x14ac:dyDescent="0.25">
      <c r="A12" s="121"/>
      <c r="B12" s="269" t="s">
        <v>223</v>
      </c>
      <c r="C12" s="269"/>
      <c r="D12" s="126">
        <v>60</v>
      </c>
      <c r="E12" s="270" t="s">
        <v>224</v>
      </c>
      <c r="F12" s="270"/>
      <c r="G12" s="270"/>
      <c r="H12" s="270"/>
      <c r="I12" s="270"/>
      <c r="J12" s="270"/>
    </row>
    <row r="13" spans="1:10" ht="32.25" customHeight="1" x14ac:dyDescent="0.25">
      <c r="A13" s="121"/>
      <c r="B13" s="271" t="s">
        <v>225</v>
      </c>
      <c r="C13" s="271"/>
      <c r="D13" s="271"/>
      <c r="E13" s="271"/>
      <c r="F13" s="271"/>
      <c r="G13" s="271"/>
      <c r="H13" s="271"/>
      <c r="I13" s="271"/>
      <c r="J13" s="271"/>
    </row>
    <row r="14" spans="1:10" ht="15" customHeight="1" x14ac:dyDescent="0.25">
      <c r="A14" s="121"/>
      <c r="B14" s="272" t="s">
        <v>226</v>
      </c>
      <c r="C14" s="272"/>
      <c r="D14" s="273" t="s">
        <v>227</v>
      </c>
      <c r="E14" s="273"/>
      <c r="F14" s="273"/>
      <c r="G14" s="273"/>
      <c r="H14" s="273"/>
      <c r="I14" s="273"/>
      <c r="J14" s="273"/>
    </row>
    <row r="15" spans="1:10" ht="35.25" customHeight="1" thickBot="1" x14ac:dyDescent="0.3">
      <c r="A15" s="121"/>
      <c r="B15" s="272"/>
      <c r="C15" s="272"/>
      <c r="D15" s="273"/>
      <c r="E15" s="273"/>
      <c r="F15" s="273"/>
      <c r="G15" s="273"/>
      <c r="H15" s="273"/>
      <c r="I15" s="273"/>
      <c r="J15" s="273"/>
    </row>
    <row r="16" spans="1:10" ht="45.75" customHeight="1" thickBot="1" x14ac:dyDescent="0.3">
      <c r="A16" s="121"/>
      <c r="B16" s="274" t="s">
        <v>228</v>
      </c>
      <c r="C16" s="274"/>
      <c r="D16" s="273" t="s">
        <v>229</v>
      </c>
      <c r="E16" s="273"/>
      <c r="F16" s="128" t="s">
        <v>230</v>
      </c>
      <c r="G16" s="127" t="s">
        <v>231</v>
      </c>
      <c r="H16" s="273" t="s">
        <v>232</v>
      </c>
      <c r="I16" s="273"/>
      <c r="J16" s="273"/>
    </row>
    <row r="17" spans="1:13" ht="45.75" customHeight="1" x14ac:dyDescent="0.25">
      <c r="A17" s="121"/>
      <c r="B17" s="274"/>
      <c r="C17" s="274"/>
      <c r="D17" s="273" t="s">
        <v>233</v>
      </c>
      <c r="E17" s="273"/>
      <c r="F17" s="128">
        <v>127.12</v>
      </c>
      <c r="G17" s="127">
        <v>2.0699999999999998</v>
      </c>
      <c r="H17" s="275">
        <f>F17*G17</f>
        <v>263.13839999999999</v>
      </c>
      <c r="I17" s="275"/>
      <c r="J17" s="275"/>
    </row>
    <row r="18" spans="1:13" ht="49.5" customHeight="1" x14ac:dyDescent="0.25">
      <c r="A18" s="121"/>
      <c r="B18" s="274"/>
      <c r="C18" s="274"/>
      <c r="D18" s="276" t="s">
        <v>234</v>
      </c>
      <c r="E18" s="276"/>
      <c r="F18" s="129">
        <v>229.18</v>
      </c>
      <c r="G18" s="130">
        <v>8.39</v>
      </c>
      <c r="H18" s="277">
        <f>F18*G18</f>
        <v>1922.8202000000001</v>
      </c>
      <c r="I18" s="277"/>
      <c r="J18" s="277"/>
      <c r="K18" s="131"/>
    </row>
    <row r="19" spans="1:13" ht="58.5" customHeight="1" x14ac:dyDescent="0.25">
      <c r="A19" s="121"/>
      <c r="B19" s="274"/>
      <c r="C19" s="274"/>
      <c r="D19" s="276" t="s">
        <v>235</v>
      </c>
      <c r="E19" s="276"/>
      <c r="F19" s="129">
        <v>2853.41</v>
      </c>
      <c r="G19" s="132">
        <v>6.53</v>
      </c>
      <c r="H19" s="277">
        <f>F19*G19</f>
        <v>18632.7673</v>
      </c>
      <c r="I19" s="277"/>
      <c r="J19" s="277"/>
    </row>
    <row r="20" spans="1:13" ht="58.5" customHeight="1" thickBot="1" x14ac:dyDescent="0.3">
      <c r="A20" s="121"/>
      <c r="B20" s="274"/>
      <c r="C20" s="274"/>
      <c r="D20" s="276" t="s">
        <v>236</v>
      </c>
      <c r="E20" s="276"/>
      <c r="F20" s="129">
        <v>869.16</v>
      </c>
      <c r="G20" s="132">
        <v>1.27</v>
      </c>
      <c r="H20" s="277">
        <f>F20*G20</f>
        <v>1103.8332</v>
      </c>
      <c r="I20" s="277"/>
      <c r="J20" s="277"/>
    </row>
    <row r="21" spans="1:13" ht="54.75" customHeight="1" thickBot="1" x14ac:dyDescent="0.3">
      <c r="A21" s="121"/>
      <c r="B21" s="274"/>
      <c r="C21" s="274"/>
      <c r="D21" s="256" t="s">
        <v>247</v>
      </c>
      <c r="E21" s="257"/>
      <c r="F21" s="129">
        <v>25.03</v>
      </c>
      <c r="G21" s="132">
        <v>0.01</v>
      </c>
      <c r="H21" s="277">
        <f>G21*F21</f>
        <v>0.25030000000000002</v>
      </c>
      <c r="I21" s="277"/>
      <c r="J21" s="277"/>
    </row>
    <row r="22" spans="1:13" ht="67.5" customHeight="1" thickBot="1" x14ac:dyDescent="0.3">
      <c r="A22" s="121"/>
      <c r="B22" s="274"/>
      <c r="C22" s="274"/>
      <c r="D22" s="276" t="s">
        <v>244</v>
      </c>
      <c r="E22" s="276"/>
      <c r="F22" s="129">
        <v>1283</v>
      </c>
      <c r="G22" s="132">
        <v>2.57</v>
      </c>
      <c r="H22" s="278">
        <f>F22*G22</f>
        <v>3297.31</v>
      </c>
      <c r="I22" s="278"/>
      <c r="J22" s="278"/>
    </row>
    <row r="23" spans="1:13" ht="67.5" customHeight="1" thickBot="1" x14ac:dyDescent="0.3">
      <c r="A23" s="121"/>
      <c r="B23" s="274"/>
      <c r="C23" s="274"/>
      <c r="D23" s="279" t="s">
        <v>245</v>
      </c>
      <c r="E23" s="281"/>
      <c r="F23" s="151">
        <v>4970.8</v>
      </c>
      <c r="G23" s="132">
        <v>0.66</v>
      </c>
      <c r="H23" s="258">
        <f>F23*G23</f>
        <v>3280.7280000000001</v>
      </c>
      <c r="I23" s="259"/>
      <c r="J23" s="260"/>
    </row>
    <row r="24" spans="1:13" ht="67.5" customHeight="1" thickBot="1" x14ac:dyDescent="0.3">
      <c r="A24" s="121"/>
      <c r="B24" s="274"/>
      <c r="C24" s="274"/>
      <c r="D24" s="279" t="s">
        <v>246</v>
      </c>
      <c r="E24" s="280"/>
      <c r="F24" s="129">
        <v>1934.5</v>
      </c>
      <c r="G24" s="132">
        <v>3.41</v>
      </c>
      <c r="H24" s="258">
        <f>F24*G24</f>
        <v>6596.6450000000004</v>
      </c>
      <c r="I24" s="259"/>
      <c r="J24" s="260"/>
    </row>
    <row r="25" spans="1:13" ht="67.5" customHeight="1" thickBot="1" x14ac:dyDescent="0.3">
      <c r="A25" s="121"/>
      <c r="B25" s="274"/>
      <c r="C25" s="274"/>
      <c r="D25" s="276" t="s">
        <v>242</v>
      </c>
      <c r="E25" s="276"/>
      <c r="F25" s="129">
        <v>173.25</v>
      </c>
      <c r="G25" s="132">
        <v>0.26</v>
      </c>
      <c r="H25" s="258">
        <f>F25*G25</f>
        <v>45.045000000000002</v>
      </c>
      <c r="I25" s="259"/>
      <c r="J25" s="260"/>
    </row>
    <row r="26" spans="1:13" ht="67.5" customHeight="1" thickBot="1" x14ac:dyDescent="0.3">
      <c r="A26" s="121"/>
      <c r="B26" s="274"/>
      <c r="C26" s="274"/>
      <c r="D26" s="276" t="s">
        <v>243</v>
      </c>
      <c r="E26" s="276"/>
      <c r="F26" s="129">
        <v>287.43</v>
      </c>
      <c r="G26" s="132">
        <v>1.25</v>
      </c>
      <c r="H26" s="278">
        <f>F26*G26</f>
        <v>359.28750000000002</v>
      </c>
      <c r="I26" s="278"/>
      <c r="J26" s="278"/>
    </row>
    <row r="27" spans="1:13" ht="67.5" hidden="1" customHeight="1" x14ac:dyDescent="0.25">
      <c r="A27" s="121"/>
      <c r="B27" s="274"/>
      <c r="C27" s="274"/>
      <c r="D27" s="276" t="s">
        <v>237</v>
      </c>
      <c r="E27" s="276"/>
      <c r="F27" s="133"/>
      <c r="G27" s="134"/>
      <c r="H27" s="278"/>
      <c r="I27" s="278"/>
      <c r="J27" s="278"/>
    </row>
    <row r="28" spans="1:13" ht="45" customHeight="1" thickBot="1" x14ac:dyDescent="0.3">
      <c r="A28" s="121"/>
      <c r="B28" s="282"/>
      <c r="C28" s="282"/>
      <c r="D28" s="282"/>
      <c r="E28" s="282"/>
      <c r="F28" s="282"/>
      <c r="G28" s="282"/>
      <c r="H28" s="277">
        <f>H26+H25+H24+H23+H22+H21+H20+H19+H18+H17</f>
        <v>35501.8249</v>
      </c>
      <c r="I28" s="277"/>
      <c r="J28" s="277"/>
      <c r="K28" s="283"/>
      <c r="L28" s="283"/>
    </row>
    <row r="29" spans="1:13" ht="30" customHeight="1" thickBot="1" x14ac:dyDescent="0.3">
      <c r="A29" s="121"/>
      <c r="B29" s="284"/>
      <c r="C29" s="284"/>
      <c r="D29" s="284"/>
      <c r="E29" s="284"/>
      <c r="F29" s="284"/>
      <c r="G29" s="135">
        <v>12</v>
      </c>
      <c r="H29" s="277">
        <f>H28*G29</f>
        <v>426021.89879999997</v>
      </c>
      <c r="I29" s="277"/>
      <c r="J29" s="277"/>
    </row>
    <row r="30" spans="1:13" ht="30" customHeight="1" x14ac:dyDescent="0.25">
      <c r="A30" s="121"/>
      <c r="B30" s="136"/>
      <c r="C30" s="136"/>
      <c r="D30" s="137"/>
      <c r="E30" s="137"/>
      <c r="F30" s="137"/>
      <c r="G30" s="137"/>
      <c r="H30" s="138"/>
      <c r="I30" s="138"/>
      <c r="J30" s="138"/>
    </row>
    <row r="31" spans="1:13" x14ac:dyDescent="0.25">
      <c r="A31" s="121"/>
      <c r="B31" s="121"/>
      <c r="C31" s="121"/>
      <c r="D31" s="121"/>
      <c r="E31" s="121"/>
      <c r="F31" s="121"/>
      <c r="G31" s="121"/>
      <c r="H31" s="139"/>
      <c r="I31" s="285"/>
      <c r="J31" s="285"/>
      <c r="M31" s="140"/>
    </row>
    <row r="32" spans="1:13" x14ac:dyDescent="0.25">
      <c r="A32" s="121"/>
      <c r="B32" s="141" t="s">
        <v>248</v>
      </c>
      <c r="C32" s="142"/>
      <c r="D32" s="286"/>
      <c r="E32" s="286"/>
      <c r="F32" s="286"/>
      <c r="G32" s="142"/>
      <c r="H32" s="143"/>
      <c r="I32" s="142"/>
      <c r="J32" s="144"/>
    </row>
    <row r="33" spans="1:13" x14ac:dyDescent="0.25">
      <c r="A33" s="121"/>
      <c r="B33" s="145"/>
      <c r="C33" s="146"/>
      <c r="D33" s="146"/>
      <c r="E33" s="146"/>
      <c r="F33" s="146"/>
      <c r="G33" s="146"/>
      <c r="H33" s="147"/>
      <c r="I33" s="146"/>
      <c r="J33" s="148"/>
    </row>
    <row r="34" spans="1:13" x14ac:dyDescent="0.25">
      <c r="A34" s="121"/>
      <c r="B34" s="121"/>
      <c r="C34" s="121"/>
      <c r="D34" s="121"/>
      <c r="E34" s="121"/>
      <c r="F34" s="121"/>
      <c r="G34" s="121"/>
      <c r="H34" s="139"/>
      <c r="I34" s="121"/>
      <c r="J34" s="121"/>
    </row>
    <row r="35" spans="1:13" ht="94.5" customHeight="1" x14ac:dyDescent="0.25">
      <c r="A35" s="121"/>
      <c r="B35" s="287" t="s">
        <v>238</v>
      </c>
      <c r="C35" s="287"/>
      <c r="D35" s="287"/>
      <c r="E35" s="287"/>
      <c r="F35" s="287"/>
      <c r="G35" s="287"/>
      <c r="H35" s="287"/>
      <c r="I35" s="287"/>
      <c r="J35" s="287"/>
      <c r="M35" s="149"/>
    </row>
    <row r="36" spans="1:13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</row>
    <row r="37" spans="1:13" x14ac:dyDescent="0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</row>
    <row r="38" spans="1:13" x14ac:dyDescent="0.25">
      <c r="A38" s="121"/>
      <c r="B38" s="121"/>
      <c r="C38" s="121"/>
      <c r="D38" s="121"/>
      <c r="E38" s="121"/>
      <c r="F38" s="121"/>
      <c r="G38" s="121"/>
      <c r="H38" s="139"/>
      <c r="I38" s="121"/>
      <c r="J38" s="121"/>
    </row>
    <row r="39" spans="1:13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</row>
    <row r="40" spans="1:13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</row>
    <row r="41" spans="1:13" x14ac:dyDescent="0.25">
      <c r="A41" s="121"/>
      <c r="B41" s="288"/>
      <c r="C41" s="288"/>
      <c r="D41" s="288"/>
      <c r="E41" s="288"/>
      <c r="F41" s="288"/>
      <c r="G41" s="288"/>
      <c r="H41" s="288"/>
      <c r="I41" s="288"/>
      <c r="J41" s="288"/>
    </row>
    <row r="42" spans="1:13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</row>
    <row r="43" spans="1:13" ht="86.25" customHeight="1" x14ac:dyDescent="0.25">
      <c r="A43" s="221"/>
      <c r="B43" s="221"/>
      <c r="C43" s="221"/>
      <c r="D43" s="121"/>
      <c r="E43" s="121"/>
      <c r="F43" s="121"/>
      <c r="G43" s="121"/>
      <c r="H43" s="121"/>
      <c r="I43" s="121"/>
      <c r="J43" s="121"/>
    </row>
  </sheetData>
  <mergeCells count="52">
    <mergeCell ref="I31:J31"/>
    <mergeCell ref="D32:F32"/>
    <mergeCell ref="B35:J35"/>
    <mergeCell ref="B41:J41"/>
    <mergeCell ref="A43:C43"/>
    <mergeCell ref="B28:G28"/>
    <mergeCell ref="H28:J28"/>
    <mergeCell ref="K28:L28"/>
    <mergeCell ref="B29:F29"/>
    <mergeCell ref="H29:J29"/>
    <mergeCell ref="H22:J22"/>
    <mergeCell ref="D26:E26"/>
    <mergeCell ref="H26:J26"/>
    <mergeCell ref="D27:E27"/>
    <mergeCell ref="H27:J27"/>
    <mergeCell ref="D25:E25"/>
    <mergeCell ref="D24:E24"/>
    <mergeCell ref="H23:J23"/>
    <mergeCell ref="H25:J25"/>
    <mergeCell ref="D23:E23"/>
    <mergeCell ref="B13:J13"/>
    <mergeCell ref="B14:C15"/>
    <mergeCell ref="D14:J15"/>
    <mergeCell ref="B16:C27"/>
    <mergeCell ref="D16:E16"/>
    <mergeCell ref="H16:J16"/>
    <mergeCell ref="D17:E17"/>
    <mergeCell ref="H17:J17"/>
    <mergeCell ref="D18:E18"/>
    <mergeCell ref="H18:J18"/>
    <mergeCell ref="D19:E19"/>
    <mergeCell ref="H19:J19"/>
    <mergeCell ref="D20:E20"/>
    <mergeCell ref="H20:J20"/>
    <mergeCell ref="D22:E22"/>
    <mergeCell ref="H21:J21"/>
    <mergeCell ref="D21:E21"/>
    <mergeCell ref="H24:J24"/>
    <mergeCell ref="A1:J1"/>
    <mergeCell ref="A2:J2"/>
    <mergeCell ref="A3:J3"/>
    <mergeCell ref="A4:J4"/>
    <mergeCell ref="A5:J5"/>
    <mergeCell ref="A6:J6"/>
    <mergeCell ref="B7:C7"/>
    <mergeCell ref="D7:J7"/>
    <mergeCell ref="B8:J8"/>
    <mergeCell ref="D9:J9"/>
    <mergeCell ref="D10:J10"/>
    <mergeCell ref="D11:J11"/>
    <mergeCell ref="B12:C12"/>
    <mergeCell ref="E12:J12"/>
  </mergeCells>
  <pageMargins left="0.51180555555555496" right="0.51180555555555496" top="0.78749999999999998" bottom="0.78749999999999998" header="0.51180555555555496" footer="0.51180555555555496"/>
  <pageSetup paperSize="9" scale="62" firstPageNumber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SERVENTE 20%</vt:lpstr>
      <vt:lpstr>PREÇO M2</vt:lpstr>
      <vt:lpstr>RESUMO DA PROPOSTA</vt:lpstr>
      <vt:lpstr>'PREÇO M2'!Area_de_impressao</vt:lpstr>
      <vt:lpstr>'RESUMO DA PROPOSTA'!Area_de_impressao</vt:lpstr>
      <vt:lpstr>'SERVENTE 20%'!Area_de_impressao</vt:lpstr>
      <vt:lpstr>'PREÇO M2'!Print_Area_0</vt:lpstr>
      <vt:lpstr>'RESUMO DA PROPOSTA'!Print_Area_0</vt:lpstr>
      <vt:lpstr>'SERVENTE 20%'!Print_Area_0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Mário Felipe Cipriano Borges Da Costa</cp:lastModifiedBy>
  <cp:revision>1</cp:revision>
  <cp:lastPrinted>2018-03-19T19:32:58Z</cp:lastPrinted>
  <dcterms:created xsi:type="dcterms:W3CDTF">2012-07-17T18:58:39Z</dcterms:created>
  <dcterms:modified xsi:type="dcterms:W3CDTF">2018-03-19T19:33:35Z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